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815" tabRatio="867" firstSheet="1" activeTab="3"/>
  </bookViews>
  <sheets>
    <sheet name="Содержание" sheetId="30" r:id="rId1"/>
    <sheet name="Уставный Капитал" sheetId="31" r:id="rId2"/>
    <sheet name="Акции" sheetId="32" r:id="rId3"/>
    <sheet name="Financial Position Statement " sheetId="12" r:id="rId4"/>
    <sheet name="P&amp;L" sheetId="13" r:id="rId5"/>
    <sheet name="Cash Flows Statement" sheetId="15" r:id="rId6"/>
    <sheet name="Характеристика активов" sheetId="22" r:id="rId7"/>
    <sheet name="Передача ээ" sheetId="23" r:id="rId8"/>
    <sheet name="Инвестиционная Программа" sheetId="18" r:id="rId9"/>
    <sheet name="Долгосрочная ИП 2017-2020" sheetId="39" r:id="rId10"/>
    <sheet name="параметры RAB (НВВ до 2020)" sheetId="4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tn1" localSheetId="1">'Уставный Капитал'!$A$44</definedName>
    <definedName name="_ftn2" localSheetId="1">'Уставный Капитал'!$A$64</definedName>
    <definedName name="_ftnref1" localSheetId="1">'Уставный Капитал'!$A$1</definedName>
    <definedName name="_ftnref2" localSheetId="1">'Уставный Капитал'!$C$52</definedName>
    <definedName name="_xlnm.Print_Area" localSheetId="9">'Долгосрочная ИП 2017-2020'!$A$1:$F$32</definedName>
    <definedName name="_xlnm.Print_Area" localSheetId="10">'параметры RAB (НВВ до 2020)'!$A$1:$AC$32</definedName>
  </definedNames>
  <calcPr calcId="145621"/>
</workbook>
</file>

<file path=xl/calcChain.xml><?xml version="1.0" encoding="utf-8"?>
<calcChain xmlns="http://schemas.openxmlformats.org/spreadsheetml/2006/main">
  <c r="K36" i="12" l="1"/>
  <c r="K45" i="12"/>
  <c r="K46" i="12" s="1"/>
  <c r="K44" i="12"/>
  <c r="K30" i="12"/>
  <c r="K20" i="12"/>
  <c r="L46" i="12"/>
  <c r="L45" i="12"/>
  <c r="L44" i="12"/>
  <c r="L36" i="12"/>
  <c r="L30" i="12"/>
  <c r="L19" i="12"/>
  <c r="L20" i="12" s="1"/>
  <c r="L11" i="12"/>
  <c r="E4" i="41" l="1"/>
  <c r="F4" i="41" s="1"/>
  <c r="G4" i="41" s="1"/>
  <c r="H4" i="41" s="1"/>
  <c r="I4" i="41" s="1"/>
  <c r="J4" i="41" s="1"/>
  <c r="K4" i="41" s="1"/>
  <c r="L4" i="41" s="1"/>
  <c r="M4" i="41"/>
  <c r="N4" i="41" s="1"/>
  <c r="O4" i="41" s="1"/>
  <c r="P4" i="41" s="1"/>
  <c r="Q4" i="41" s="1"/>
  <c r="R4" i="41" s="1"/>
  <c r="S4" i="41" s="1"/>
  <c r="T4" i="41" s="1"/>
  <c r="U4" i="41" s="1"/>
  <c r="V4" i="41"/>
  <c r="W4" i="41"/>
  <c r="X4" i="41" s="1"/>
  <c r="Y4" i="41" s="1"/>
  <c r="Z4" i="41" s="1"/>
  <c r="AA4" i="41" s="1"/>
  <c r="AB4" i="41" s="1"/>
  <c r="AC4" i="41" s="1"/>
  <c r="AD4" i="41" s="1"/>
  <c r="D5" i="4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V5" i="41"/>
  <c r="W5" i="41"/>
  <c r="X5" i="41"/>
  <c r="Y5" i="41"/>
  <c r="Z5" i="41"/>
  <c r="AA5" i="41"/>
  <c r="AB5" i="41"/>
  <c r="AC5" i="41"/>
  <c r="AD5" i="41"/>
  <c r="D7" i="41"/>
  <c r="D6" i="41" s="1"/>
  <c r="E7" i="41"/>
  <c r="E6" i="41" s="1"/>
  <c r="F7" i="41"/>
  <c r="F6" i="41" s="1"/>
  <c r="G7" i="41"/>
  <c r="G6" i="41" s="1"/>
  <c r="H7" i="41"/>
  <c r="H6" i="41" s="1"/>
  <c r="I7" i="41"/>
  <c r="I6" i="41" s="1"/>
  <c r="J7" i="41"/>
  <c r="J6" i="41" s="1"/>
  <c r="K7" i="41"/>
  <c r="K6" i="41" s="1"/>
  <c r="L7" i="41"/>
  <c r="L6" i="41" s="1"/>
  <c r="M7" i="41"/>
  <c r="M6" i="41" s="1"/>
  <c r="M15" i="41" s="1"/>
  <c r="N7" i="41"/>
  <c r="N6" i="41" s="1"/>
  <c r="N15" i="41" s="1"/>
  <c r="N17" i="41" s="1"/>
  <c r="O7" i="41"/>
  <c r="O6" i="41" s="1"/>
  <c r="O15" i="41" s="1"/>
  <c r="O17" i="41" s="1"/>
  <c r="P7" i="41"/>
  <c r="P6" i="41" s="1"/>
  <c r="P15" i="41" s="1"/>
  <c r="P17" i="41" s="1"/>
  <c r="P18" i="41" s="1"/>
  <c r="Q7" i="41"/>
  <c r="Q6" i="41" s="1"/>
  <c r="Q15" i="41" s="1"/>
  <c r="Q17" i="41" s="1"/>
  <c r="R7" i="41"/>
  <c r="R6" i="41" s="1"/>
  <c r="R15" i="41" s="1"/>
  <c r="R17" i="41" s="1"/>
  <c r="R18" i="41" s="1"/>
  <c r="S7" i="41"/>
  <c r="S6" i="41" s="1"/>
  <c r="S15" i="41" s="1"/>
  <c r="S17" i="41" s="1"/>
  <c r="T7" i="41"/>
  <c r="T6" i="41" s="1"/>
  <c r="T15" i="41" s="1"/>
  <c r="T17" i="41" s="1"/>
  <c r="T18" i="41" s="1"/>
  <c r="U7" i="41"/>
  <c r="U6" i="41" s="1"/>
  <c r="U15" i="41" s="1"/>
  <c r="U17" i="41" s="1"/>
  <c r="V7" i="41"/>
  <c r="W7" i="41"/>
  <c r="X7" i="41"/>
  <c r="Y7" i="41"/>
  <c r="Z7" i="41"/>
  <c r="AA7" i="41"/>
  <c r="AB7" i="41"/>
  <c r="AC7" i="41"/>
  <c r="AD7" i="41"/>
  <c r="D8" i="41"/>
  <c r="E8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AC8" i="41"/>
  <c r="AD8" i="4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X9" i="41"/>
  <c r="Y9" i="41"/>
  <c r="Z9" i="41"/>
  <c r="AA9" i="41"/>
  <c r="AB9" i="41"/>
  <c r="AC9" i="41"/>
  <c r="AD9" i="41"/>
  <c r="E10" i="41"/>
  <c r="F10" i="41"/>
  <c r="G10" i="41"/>
  <c r="H10" i="41"/>
  <c r="I10" i="41"/>
  <c r="J10" i="41"/>
  <c r="K10" i="41"/>
  <c r="L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D11" i="41"/>
  <c r="E11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V11" i="41"/>
  <c r="W11" i="41"/>
  <c r="X11" i="41"/>
  <c r="Y11" i="41"/>
  <c r="Z11" i="41"/>
  <c r="AA11" i="41"/>
  <c r="AB11" i="41"/>
  <c r="AC11" i="41"/>
  <c r="AD11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AC14" i="41"/>
  <c r="AD14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M17" i="41"/>
  <c r="M18" i="41"/>
  <c r="N18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V22" i="41"/>
  <c r="W22" i="41"/>
  <c r="X22" i="41"/>
  <c r="Y22" i="41"/>
  <c r="Z22" i="41"/>
  <c r="AA22" i="41"/>
  <c r="AB22" i="41"/>
  <c r="AC22" i="41"/>
  <c r="AD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AA23" i="41"/>
  <c r="AB23" i="41"/>
  <c r="AC23" i="41"/>
  <c r="AD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AA24" i="41"/>
  <c r="AB24" i="41"/>
  <c r="AC24" i="41"/>
  <c r="AD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D26" i="41"/>
  <c r="E26" i="41"/>
  <c r="F26" i="41"/>
  <c r="G26" i="41"/>
  <c r="H26" i="41"/>
  <c r="I26" i="41"/>
  <c r="J26" i="41"/>
  <c r="K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AA26" i="41"/>
  <c r="F27" i="41"/>
  <c r="M27" i="41"/>
  <c r="N27" i="41"/>
  <c r="O27" i="41"/>
  <c r="V27" i="41"/>
  <c r="W27" i="41"/>
  <c r="X27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V29" i="41"/>
  <c r="W29" i="41"/>
  <c r="X29" i="41"/>
  <c r="Y29" i="41"/>
  <c r="Z29" i="41"/>
  <c r="AA29" i="41"/>
  <c r="AB29" i="41"/>
  <c r="AC29" i="41"/>
  <c r="AD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V30" i="41"/>
  <c r="W30" i="41"/>
  <c r="X30" i="41"/>
  <c r="Y30" i="41"/>
  <c r="Z30" i="41"/>
  <c r="AA30" i="41"/>
  <c r="AB30" i="41"/>
  <c r="AC30" i="41"/>
  <c r="AD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L15" i="41" l="1"/>
  <c r="AD6" i="41"/>
  <c r="J15" i="41"/>
  <c r="AB6" i="41"/>
  <c r="H15" i="41"/>
  <c r="Z6" i="41"/>
  <c r="F15" i="41"/>
  <c r="X6" i="41"/>
  <c r="D15" i="41"/>
  <c r="V6" i="41"/>
  <c r="U18" i="41"/>
  <c r="S18" i="41"/>
  <c r="Q18" i="41"/>
  <c r="O18" i="41"/>
  <c r="AC6" i="41"/>
  <c r="K15" i="41"/>
  <c r="AA6" i="41"/>
  <c r="I15" i="41"/>
  <c r="Y6" i="41"/>
  <c r="G15" i="41"/>
  <c r="W6" i="41"/>
  <c r="E15" i="41"/>
  <c r="F12" i="39"/>
  <c r="F13" i="39"/>
  <c r="F32" i="39"/>
  <c r="F31" i="39"/>
  <c r="F30" i="39"/>
  <c r="F29" i="39"/>
  <c r="F28" i="39"/>
  <c r="F23" i="39"/>
  <c r="F22" i="39"/>
  <c r="F21" i="39"/>
  <c r="F20" i="39"/>
  <c r="F19" i="39"/>
  <c r="W15" i="41" l="1"/>
  <c r="W17" i="41" s="1"/>
  <c r="E17" i="41"/>
  <c r="Y15" i="41"/>
  <c r="G17" i="41"/>
  <c r="AA15" i="41"/>
  <c r="I17" i="41"/>
  <c r="AC15" i="41"/>
  <c r="K17" i="41"/>
  <c r="V15" i="41"/>
  <c r="V17" i="41" s="1"/>
  <c r="V18" i="41" s="1"/>
  <c r="D17" i="41"/>
  <c r="D18" i="41" s="1"/>
  <c r="X15" i="41"/>
  <c r="X17" i="41" s="1"/>
  <c r="X18" i="41" s="1"/>
  <c r="F17" i="41"/>
  <c r="F18" i="41" s="1"/>
  <c r="Z15" i="41"/>
  <c r="H17" i="41"/>
  <c r="H18" i="41" s="1"/>
  <c r="AB15" i="41"/>
  <c r="J17" i="41"/>
  <c r="J18" i="41" s="1"/>
  <c r="AD15" i="41"/>
  <c r="L17" i="41"/>
  <c r="L18" i="41" s="1"/>
  <c r="K18" i="41" l="1"/>
  <c r="I18" i="41"/>
  <c r="G18" i="41"/>
  <c r="E18" i="41"/>
  <c r="AD17" i="41"/>
  <c r="AB17" i="41"/>
  <c r="Z17" i="41"/>
  <c r="AC17" i="41"/>
  <c r="AC18" i="41" s="1"/>
  <c r="AA17" i="41"/>
  <c r="AA18" i="41" s="1"/>
  <c r="Y17" i="41"/>
  <c r="Y18" i="41" s="1"/>
  <c r="W18" i="41"/>
  <c r="Z18" i="41" l="1"/>
  <c r="AB18" i="41"/>
  <c r="AD18" i="41"/>
  <c r="F49" i="39" l="1"/>
  <c r="F48" i="39"/>
  <c r="F47" i="39"/>
  <c r="D46" i="39"/>
  <c r="C46" i="39"/>
  <c r="B46" i="39"/>
  <c r="F45" i="39"/>
  <c r="E44" i="39"/>
  <c r="F43" i="39"/>
  <c r="F42" i="39"/>
  <c r="F41" i="39"/>
  <c r="C40" i="39"/>
  <c r="C44" i="39" s="1"/>
  <c r="B40" i="39"/>
  <c r="B44" i="39" s="1"/>
  <c r="F39" i="39"/>
  <c r="F38" i="39"/>
  <c r="E37" i="39"/>
  <c r="E50" i="39" s="1"/>
  <c r="D37" i="39"/>
  <c r="C37" i="39"/>
  <c r="C50" i="39" s="1"/>
  <c r="F8" i="39"/>
  <c r="F6" i="39"/>
  <c r="F11" i="39"/>
  <c r="F9" i="39"/>
  <c r="E9" i="39"/>
  <c r="D9" i="39"/>
  <c r="C9" i="39"/>
  <c r="B9" i="39"/>
  <c r="E8" i="39"/>
  <c r="D8" i="39"/>
  <c r="C8" i="39"/>
  <c r="B8" i="39"/>
  <c r="F7" i="39"/>
  <c r="E7" i="39"/>
  <c r="D7" i="39"/>
  <c r="C7" i="39"/>
  <c r="B7" i="39"/>
  <c r="E6" i="39"/>
  <c r="D6" i="39"/>
  <c r="C6" i="39"/>
  <c r="B6" i="39"/>
  <c r="F5" i="39"/>
  <c r="E5" i="39"/>
  <c r="D5" i="39"/>
  <c r="C5" i="39"/>
  <c r="B5" i="39"/>
  <c r="F44" i="39" l="1"/>
  <c r="D50" i="39"/>
  <c r="F46" i="39"/>
  <c r="B37" i="39"/>
  <c r="B50" i="39" s="1"/>
  <c r="F50" i="39" s="1"/>
  <c r="F40" i="39"/>
  <c r="F37" i="39" l="1"/>
  <c r="K65" i="15" l="1"/>
  <c r="K53" i="15"/>
  <c r="K24" i="15"/>
  <c r="K33" i="15" s="1"/>
  <c r="K38" i="15" s="1"/>
  <c r="K10" i="13"/>
  <c r="K12" i="13" s="1"/>
  <c r="K5" i="13"/>
  <c r="K66" i="15" l="1"/>
  <c r="J20" i="23" l="1"/>
  <c r="J19" i="23"/>
  <c r="J18" i="23"/>
  <c r="J65" i="15" l="1"/>
  <c r="B65" i="15"/>
  <c r="C65" i="15"/>
  <c r="D65" i="15"/>
  <c r="E65" i="15"/>
  <c r="F65" i="15"/>
  <c r="G65" i="15"/>
  <c r="H65" i="15"/>
  <c r="I65" i="15"/>
  <c r="J53" i="15"/>
  <c r="J24" i="15" l="1"/>
  <c r="J33" i="15" s="1"/>
  <c r="J38" i="15" s="1"/>
  <c r="J66" i="15" s="1"/>
  <c r="J5" i="13" l="1"/>
  <c r="J10" i="13" s="1"/>
  <c r="J12" i="13" s="1"/>
  <c r="I5" i="13"/>
  <c r="J44" i="12"/>
  <c r="J36" i="12"/>
  <c r="J45" i="12" s="1"/>
  <c r="J46" i="12" s="1"/>
  <c r="J30" i="12"/>
  <c r="J19" i="12"/>
  <c r="J11" i="12"/>
  <c r="J20" i="12" l="1"/>
  <c r="I24" i="15"/>
  <c r="I33" i="15" s="1"/>
  <c r="I38" i="15" s="1"/>
  <c r="I53" i="15"/>
  <c r="I10" i="13"/>
  <c r="I12" i="13" s="1"/>
  <c r="I30" i="12"/>
  <c r="I36" i="12"/>
  <c r="I44" i="12"/>
  <c r="I11" i="12"/>
  <c r="I19" i="12"/>
  <c r="I23" i="23"/>
  <c r="I13" i="23"/>
  <c r="I8" i="23"/>
  <c r="I3" i="23"/>
  <c r="G21" i="22"/>
  <c r="H24" i="15"/>
  <c r="H33" i="15" s="1"/>
  <c r="H38" i="15" s="1"/>
  <c r="H53" i="15"/>
  <c r="G5" i="13"/>
  <c r="G10" i="13"/>
  <c r="G4" i="15" s="1"/>
  <c r="G24" i="15" s="1"/>
  <c r="G33" i="15" s="1"/>
  <c r="G38" i="15" s="1"/>
  <c r="H5" i="13"/>
  <c r="H10" i="13" s="1"/>
  <c r="H12" i="13" s="1"/>
  <c r="H44" i="12"/>
  <c r="H36" i="12"/>
  <c r="H30" i="12"/>
  <c r="G11" i="12"/>
  <c r="G19" i="12"/>
  <c r="H11" i="12"/>
  <c r="H19" i="12"/>
  <c r="H23" i="23"/>
  <c r="H19" i="23"/>
  <c r="H20" i="23"/>
  <c r="H13" i="23"/>
  <c r="H18" i="23" s="1"/>
  <c r="H3" i="23"/>
  <c r="H8" i="23"/>
  <c r="F53" i="15"/>
  <c r="F5" i="13"/>
  <c r="F10" i="13" s="1"/>
  <c r="F12" i="13" s="1"/>
  <c r="E5" i="13"/>
  <c r="E10" i="13"/>
  <c r="E12" i="13" s="1"/>
  <c r="G44" i="12"/>
  <c r="G30" i="12"/>
  <c r="F30" i="12"/>
  <c r="G53" i="15"/>
  <c r="F44" i="12"/>
  <c r="F19" i="12"/>
  <c r="G23" i="23"/>
  <c r="G3" i="23"/>
  <c r="G18" i="23" s="1"/>
  <c r="G29" i="18"/>
  <c r="G27" i="18"/>
  <c r="G26" i="18"/>
  <c r="G25" i="18"/>
  <c r="E44" i="12"/>
  <c r="G36" i="12"/>
  <c r="C21" i="22"/>
  <c r="D21" i="22"/>
  <c r="E21" i="22"/>
  <c r="F21" i="22"/>
  <c r="E53" i="15"/>
  <c r="B53" i="15"/>
  <c r="D53" i="15"/>
  <c r="D44" i="12"/>
  <c r="C44" i="12"/>
  <c r="B44" i="12"/>
  <c r="F36" i="12"/>
  <c r="F45" i="12" s="1"/>
  <c r="E36" i="12"/>
  <c r="D36" i="12"/>
  <c r="C36" i="12"/>
  <c r="B36" i="12"/>
  <c r="E30" i="12"/>
  <c r="D30" i="12"/>
  <c r="C30" i="12"/>
  <c r="B30" i="12"/>
  <c r="E19" i="12"/>
  <c r="D19" i="12"/>
  <c r="C19" i="12"/>
  <c r="B19" i="12"/>
  <c r="E11" i="12"/>
  <c r="E20" i="12" s="1"/>
  <c r="F11" i="12"/>
  <c r="D11" i="12"/>
  <c r="C11" i="12"/>
  <c r="B11" i="12"/>
  <c r="D5" i="13"/>
  <c r="D10" i="13" s="1"/>
  <c r="C5" i="13"/>
  <c r="C10" i="13" s="1"/>
  <c r="C12" i="13" s="1"/>
  <c r="B5" i="13"/>
  <c r="B10" i="13" s="1"/>
  <c r="B12" i="13" s="1"/>
  <c r="C53" i="15"/>
  <c r="E4" i="15"/>
  <c r="E24" i="15" s="1"/>
  <c r="E33" i="15" s="1"/>
  <c r="E38" i="15" s="1"/>
  <c r="E66" i="15" s="1"/>
  <c r="B13" i="23"/>
  <c r="D17" i="18"/>
  <c r="C17" i="18"/>
  <c r="B17" i="18"/>
  <c r="D16" i="18"/>
  <c r="B16" i="18"/>
  <c r="D15" i="18"/>
  <c r="C15" i="18"/>
  <c r="B15" i="18"/>
  <c r="D7" i="18"/>
  <c r="C7" i="18"/>
  <c r="B7" i="18"/>
  <c r="D6" i="18"/>
  <c r="C6" i="18"/>
  <c r="B6" i="18"/>
  <c r="D5" i="18"/>
  <c r="C5" i="18"/>
  <c r="B5" i="18"/>
  <c r="C8" i="23"/>
  <c r="D8" i="23"/>
  <c r="E8" i="23"/>
  <c r="F8" i="23"/>
  <c r="G8" i="23"/>
  <c r="F23" i="23"/>
  <c r="E23" i="23"/>
  <c r="D23" i="23"/>
  <c r="C23" i="23"/>
  <c r="F13" i="23"/>
  <c r="E13" i="23"/>
  <c r="D13" i="23"/>
  <c r="C13" i="23"/>
  <c r="G30" i="23"/>
  <c r="F5" i="23"/>
  <c r="E5" i="23"/>
  <c r="E30" i="23" s="1"/>
  <c r="D5" i="23"/>
  <c r="D30" i="23" s="1"/>
  <c r="C5" i="23"/>
  <c r="C30" i="23" s="1"/>
  <c r="F4" i="23"/>
  <c r="E4" i="23"/>
  <c r="E29" i="23" s="1"/>
  <c r="D4" i="23"/>
  <c r="D19" i="23" s="1"/>
  <c r="C4" i="23"/>
  <c r="C29" i="23" s="1"/>
  <c r="C32" i="22"/>
  <c r="D32" i="22"/>
  <c r="G9" i="22"/>
  <c r="F9" i="22"/>
  <c r="E9" i="22"/>
  <c r="G32" i="22"/>
  <c r="F32" i="22"/>
  <c r="E32" i="22"/>
  <c r="E20" i="23"/>
  <c r="G20" i="23"/>
  <c r="G19" i="23"/>
  <c r="G28" i="23"/>
  <c r="D45" i="12"/>
  <c r="B20" i="12" l="1"/>
  <c r="H28" i="23"/>
  <c r="C20" i="12"/>
  <c r="C45" i="12"/>
  <c r="E45" i="12"/>
  <c r="G45" i="12"/>
  <c r="D20" i="23"/>
  <c r="G20" i="12"/>
  <c r="H45" i="12"/>
  <c r="H46" i="12" s="1"/>
  <c r="I45" i="12"/>
  <c r="G66" i="15"/>
  <c r="I66" i="15"/>
  <c r="I68" i="15" s="1"/>
  <c r="D4" i="15"/>
  <c r="D24" i="15" s="1"/>
  <c r="D33" i="15" s="1"/>
  <c r="D38" i="15" s="1"/>
  <c r="D66" i="15" s="1"/>
  <c r="D12" i="13"/>
  <c r="E19" i="23"/>
  <c r="C4" i="15"/>
  <c r="C24" i="15" s="1"/>
  <c r="C33" i="15" s="1"/>
  <c r="C38" i="15" s="1"/>
  <c r="C66" i="15" s="1"/>
  <c r="B45" i="12"/>
  <c r="B46" i="12" s="1"/>
  <c r="E46" i="12"/>
  <c r="G46" i="12"/>
  <c r="I18" i="23"/>
  <c r="I20" i="12"/>
  <c r="E3" i="23"/>
  <c r="E28" i="23" s="1"/>
  <c r="D20" i="12"/>
  <c r="D46" i="12"/>
  <c r="G12" i="13"/>
  <c r="I28" i="23"/>
  <c r="H20" i="12"/>
  <c r="I46" i="12"/>
  <c r="F20" i="12"/>
  <c r="F30" i="23"/>
  <c r="F20" i="23"/>
  <c r="F46" i="12"/>
  <c r="C20" i="23"/>
  <c r="C3" i="23"/>
  <c r="C19" i="23"/>
  <c r="F29" i="23"/>
  <c r="F19" i="23"/>
  <c r="B4" i="15"/>
  <c r="B24" i="15" s="1"/>
  <c r="B33" i="15" s="1"/>
  <c r="B38" i="15" s="1"/>
  <c r="B66" i="15" s="1"/>
  <c r="B68" i="15" s="1"/>
  <c r="C67" i="15" s="1"/>
  <c r="F4" i="15"/>
  <c r="F24" i="15" s="1"/>
  <c r="F33" i="15" s="1"/>
  <c r="F38" i="15" s="1"/>
  <c r="F66" i="15" s="1"/>
  <c r="F3" i="23"/>
  <c r="F18" i="23" s="1"/>
  <c r="D29" i="23"/>
  <c r="D3" i="23"/>
  <c r="C46" i="12"/>
  <c r="C68" i="15" l="1"/>
  <c r="D67" i="15" s="1"/>
  <c r="D68" i="15" s="1"/>
  <c r="E67" i="15" s="1"/>
  <c r="E68" i="15" s="1"/>
  <c r="F67" i="15" s="1"/>
  <c r="F68" i="15" s="1"/>
  <c r="G67" i="15" s="1"/>
  <c r="G68" i="15" s="1"/>
  <c r="F28" i="23"/>
  <c r="E18" i="23"/>
  <c r="C18" i="23"/>
  <c r="C28" i="23"/>
  <c r="D18" i="23"/>
  <c r="D28" i="23"/>
  <c r="H66" i="15"/>
  <c r="H68" i="15" s="1"/>
</calcChain>
</file>

<file path=xl/sharedStrings.xml><?xml version="1.0" encoding="utf-8"?>
<sst xmlns="http://schemas.openxmlformats.org/spreadsheetml/2006/main" count="510" uniqueCount="307">
  <si>
    <t>Чистая прибыль</t>
  </si>
  <si>
    <t>АКТИВЫ</t>
  </si>
  <si>
    <t>Долгосрочные активы</t>
  </si>
  <si>
    <t>Нематериальные активы</t>
  </si>
  <si>
    <t>Основные средства</t>
  </si>
  <si>
    <t>Инвестиции, имеющиеся в наличии для продажи</t>
  </si>
  <si>
    <t>Прочие долгосрочные активы</t>
  </si>
  <si>
    <t>Итого долгосрочные активы</t>
  </si>
  <si>
    <t>Краткосрочные активы</t>
  </si>
  <si>
    <t>Денежные средства и их эквиваленты</t>
  </si>
  <si>
    <t>Дебиторская задолженность</t>
  </si>
  <si>
    <t>Запасы</t>
  </si>
  <si>
    <t>Прочие краткосрочные активы</t>
  </si>
  <si>
    <t>Итого краткосрочные активы</t>
  </si>
  <si>
    <t>ИТОГО АКТИВЫ</t>
  </si>
  <si>
    <t>СОБСТВЕННЫЙ КАПИТАЛ И ОБЯЗАТЕЛЬСТВА</t>
  </si>
  <si>
    <t>Обыкновенные акции</t>
  </si>
  <si>
    <t>Привилегированные акции</t>
  </si>
  <si>
    <t>Добавочный капитал</t>
  </si>
  <si>
    <t>Прочие резервы</t>
  </si>
  <si>
    <t>Итого собственный капитал</t>
  </si>
  <si>
    <t>Долгосрочные обязательства</t>
  </si>
  <si>
    <t>Отложенные налоговые обязательства</t>
  </si>
  <si>
    <t>Обязательства по пенсионному обеспечению работников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</si>
  <si>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</si>
  <si>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</si>
  <si>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</si>
  <si>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Краткосрочная часть долгосрочных кредитов и займов</t>
  </si>
  <si>
    <t>Задолженность по налогу на прибыль</t>
  </si>
  <si>
    <t>Задолженность по прочим налогам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</si>
  <si>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</si>
  <si>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</si>
  <si>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</si>
  <si>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Выручка</t>
  </si>
  <si>
    <t>Операционные расходы</t>
  </si>
  <si>
    <t>Операционная прибыль</t>
  </si>
  <si>
    <t>Финансовые доходы</t>
  </si>
  <si>
    <t>Финансовые расходы</t>
  </si>
  <si>
    <t>Убыток от переоценки валюты</t>
  </si>
  <si>
    <t>-</t>
  </si>
  <si>
    <t>Прибыль до налогообложения</t>
  </si>
  <si>
    <t>расход по налогу на прибыль</t>
  </si>
  <si>
    <t>Относящаяся на:</t>
  </si>
  <si>
    <t>Акционеров материнской компании</t>
  </si>
  <si>
    <t>2 578 481</t>
  </si>
  <si>
    <t>Прибыль на обыкновенную акцию - базовая и разводненная (в руб.)</t>
  </si>
  <si>
    <t>Прибыль на привилегированную акцию - базовая и разводненная (в руб.)</t>
  </si>
  <si>
    <t>Собственный капитал, относящийся к акционерам материнской компании</t>
  </si>
  <si>
    <t>Денежные средства от операционной деятельности</t>
  </si>
  <si>
    <t>Корректировки для сверки прибыли до налогообложения с чистыми денежными потоками от операционной деятельности:</t>
  </si>
  <si>
    <t>Убыток от переоценки основных средств</t>
  </si>
  <si>
    <t>Износ основных средств</t>
  </si>
  <si>
    <t>Амортизация нематериальных активов</t>
  </si>
  <si>
    <t>Обеспечение финансовых активов, имеющихся в наличии для продажи</t>
  </si>
  <si>
    <t>Неденежные расчеты по технологическому присоединению к сети</t>
  </si>
  <si>
    <t>Чистый расход по пенсионному плану с установленными выплатами</t>
  </si>
  <si>
    <t>Денежные потоки от операционной деятельности до изменения оборотного капитала</t>
  </si>
  <si>
    <t>Увеличение (уменьшение) прочих долгосрочных обязательств</t>
  </si>
  <si>
    <t>Увеличение запасов</t>
  </si>
  <si>
    <t>(Увеличение)/ уменьшение задолженности по налогам, кроме налога на прибыль</t>
  </si>
  <si>
    <t>Увеличение обязательств по пенсионному обеспечению работников</t>
  </si>
  <si>
    <t>Проценты уплаченные</t>
  </si>
  <si>
    <t>Налог на прибыль уплаченный</t>
  </si>
  <si>
    <t>Выплаченные пенсионные вознаграждения</t>
  </si>
  <si>
    <t>Чистые денежные средства от операционной деятельности</t>
  </si>
  <si>
    <t>Денежные средства от инвестиционной деятельности</t>
  </si>
  <si>
    <t>Поступления от выбытия инвестиций, имеющихся в наличии для продажи</t>
  </si>
  <si>
    <t>Приобретение основных средств</t>
  </si>
  <si>
    <t>Приобретение нематериальных активов</t>
  </si>
  <si>
    <t>Уменьшение (увеличение) авансов, выданных строительным организациям</t>
  </si>
  <si>
    <t>Поступления от выбытия основных средств</t>
  </si>
  <si>
    <t>Приобретение дочерних компаний, за вычетом полученных денежных средств</t>
  </si>
  <si>
    <t>Депозиты размещенные</t>
  </si>
  <si>
    <t>Дивиденды полученные</t>
  </si>
  <si>
    <t>Проценты полученные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</si>
  <si>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</si>
  <si>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</si>
  <si>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Взносы по будущей эмиссии акций (возвращенные)/ полученные авансом</t>
  </si>
  <si>
    <t>Поступления по долгосрочным кредитам и займам</t>
  </si>
  <si>
    <t>Дивиденды выплаченные</t>
  </si>
  <si>
    <t>Выплата обязательств по финансовой аренде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</si>
  <si>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</si>
  <si>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</si>
  <si>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 </t>
  </si>
  <si>
    <t>Обесценение активов, полученных по договорам финансовой аренды</t>
  </si>
  <si>
    <t>Приобретение неконтрольной доли участия</t>
  </si>
  <si>
    <t>Чистое изменение в резервах</t>
  </si>
  <si>
    <t>г. Санкт-Петербург</t>
  </si>
  <si>
    <t>Ленинградская область</t>
  </si>
  <si>
    <t>ПС</t>
  </si>
  <si>
    <t>ТП</t>
  </si>
  <si>
    <t>КЛ 0,4-110 кВ</t>
  </si>
  <si>
    <t>ИТОГО</t>
  </si>
  <si>
    <t>35 кВ</t>
  </si>
  <si>
    <t>Ед. изм.</t>
  </si>
  <si>
    <t>Санкт-Петербург</t>
  </si>
  <si>
    <t>Общие потери, %</t>
  </si>
  <si>
    <t>МВА</t>
  </si>
  <si>
    <t xml:space="preserve">Наименование показателей  </t>
  </si>
  <si>
    <t xml:space="preserve">г. Санкт-Петербург  </t>
  </si>
  <si>
    <t xml:space="preserve">Освоение, млн. руб. без НДС  </t>
  </si>
  <si>
    <t xml:space="preserve">Ввод ОФ, млн. руб.  </t>
  </si>
  <si>
    <t xml:space="preserve">Финансирование, млн. руб. с НДС  </t>
  </si>
  <si>
    <t xml:space="preserve">Ввод мощности МВА  </t>
  </si>
  <si>
    <t xml:space="preserve">Ввод мощности км  </t>
  </si>
  <si>
    <t xml:space="preserve">Ленинградская область  </t>
  </si>
  <si>
    <t>Показатель</t>
  </si>
  <si>
    <t>ВЛ 0,4-10 кВ (по трассе)</t>
  </si>
  <si>
    <t>ВЛ 35-110 кВ (по трассе)</t>
  </si>
  <si>
    <t>у.е. *</t>
  </si>
  <si>
    <t xml:space="preserve"> * Примечание: без учета ДГУ, СДТУ</t>
  </si>
  <si>
    <t xml:space="preserve">110 кВ </t>
  </si>
  <si>
    <t>у.е.</t>
  </si>
  <si>
    <t xml:space="preserve">1-20 кВ </t>
  </si>
  <si>
    <t xml:space="preserve">до 1 кВ </t>
  </si>
  <si>
    <t>ДГУ - дизель-генераторные установки</t>
  </si>
  <si>
    <t>СДТУ - средства диспетчерского и технологического управления</t>
  </si>
  <si>
    <t>Установленная мощность (МВА)</t>
  </si>
  <si>
    <t>Воздушные линии 0,4-110 кВ, по трассе (км)</t>
  </si>
  <si>
    <t>км</t>
  </si>
  <si>
    <t>Воздушные линии 0,4-110 кВ, по цепям (км)</t>
  </si>
  <si>
    <t>Кабельные линии 0,4-110 кВ (км)</t>
  </si>
  <si>
    <t>Подстанции 35-110 кВ (шт)</t>
  </si>
  <si>
    <t>шт</t>
  </si>
  <si>
    <t>Подстанции 35-110 кВ (МВА)</t>
  </si>
  <si>
    <t>Трансформаторные подстанции (ТП) 6-35 кВ (шт)</t>
  </si>
  <si>
    <t>Трансформаторные подстанции (ТП) 6-35 кВ (МВА)</t>
  </si>
  <si>
    <t>Отпуск в сеть, млн.кВтч.</t>
  </si>
  <si>
    <t>Полезный отпуск, млн.кВтч.</t>
  </si>
  <si>
    <t>Общие потери, млн.кВтч.</t>
  </si>
  <si>
    <t>Состав электрических сетей по оборудованию</t>
  </si>
  <si>
    <t>Состав электрических сетей по классу напряжения</t>
  </si>
  <si>
    <t>Выполнение инвестиционной программы в Санкт-Петербурге</t>
  </si>
  <si>
    <t>LENENERGO</t>
  </si>
  <si>
    <t>DATABOOK</t>
  </si>
  <si>
    <t>►P&amp;L</t>
  </si>
  <si>
    <t>►Cash Flows Statement</t>
  </si>
  <si>
    <t>►Характеристика активов</t>
  </si>
  <si>
    <t>►Передача электроэнергии</t>
  </si>
  <si>
    <t>►Инвестиционная Программа</t>
  </si>
  <si>
    <t>►Параметры RAB</t>
  </si>
  <si>
    <r>
      <rPr>
        <u/>
        <sz val="16"/>
        <rFont val="Arial"/>
        <family val="2"/>
        <charset val="204"/>
      </rPr>
      <t>►</t>
    </r>
    <r>
      <rPr>
        <u/>
        <sz val="16"/>
        <rFont val="Arial Cyr"/>
        <charset val="204"/>
      </rPr>
      <t>Financial Position Statement</t>
    </r>
  </si>
  <si>
    <t>СОДЕРЖАНИЕ</t>
  </si>
  <si>
    <t>Контакты:</t>
  </si>
  <si>
    <t>ir@lenenergo.ru</t>
  </si>
  <si>
    <t>тел.8 (812) 494 3906</t>
  </si>
  <si>
    <t>2006*</t>
  </si>
  <si>
    <t>* показатели не рассчитывались</t>
  </si>
  <si>
    <t>Консолидированный отчёт о движении денежных средств (МСФО), тыс. руб.</t>
  </si>
  <si>
    <t>Консолидированный отчёт о прибылях и убытках (МСФО), тыс. руб.</t>
  </si>
  <si>
    <t>Консолидированный отчёт о финансовом положении (МСФО), тыс. руб.</t>
  </si>
  <si>
    <t>Выполнение инвестиционной программы в Ленинградской области</t>
  </si>
  <si>
    <t>Неконтрольную долю участия</t>
  </si>
  <si>
    <t>Акции обыкновенные</t>
  </si>
  <si>
    <t>691 854 144</t>
  </si>
  <si>
    <t>926 021 679,04</t>
  </si>
  <si>
    <t>Акции привилегированные</t>
  </si>
  <si>
    <t>93 264 311</t>
  </si>
  <si>
    <t>93 264 311,00</t>
  </si>
  <si>
    <t>Всего</t>
  </si>
  <si>
    <t>785 118 455</t>
  </si>
  <si>
    <t>1 019 285 990,04</t>
  </si>
  <si>
    <t>Итого</t>
  </si>
  <si>
    <t>1 квартал</t>
  </si>
  <si>
    <t>Минимум</t>
  </si>
  <si>
    <t>Максимум</t>
  </si>
  <si>
    <t>Закрытие</t>
  </si>
  <si>
    <t>2 квартал</t>
  </si>
  <si>
    <t xml:space="preserve">Максимум </t>
  </si>
  <si>
    <t>3 квартал</t>
  </si>
  <si>
    <t>4 квартал</t>
  </si>
  <si>
    <t>35 190</t>
  </si>
  <si>
    <t>* информация представлена на последнюю дату каждого отчетного периода</t>
  </si>
  <si>
    <t>12 434</t>
  </si>
  <si>
    <t>34 933</t>
  </si>
  <si>
    <t>25 571</t>
  </si>
  <si>
    <t xml:space="preserve">Котировальные списки </t>
  </si>
  <si>
    <t xml:space="preserve">Тиккеры </t>
  </si>
  <si>
    <t xml:space="preserve">Обыкновенные акции </t>
  </si>
  <si>
    <t xml:space="preserve">LSNG </t>
  </si>
  <si>
    <t xml:space="preserve">Привилегированные акции </t>
  </si>
  <si>
    <t xml:space="preserve">LSNGP </t>
  </si>
  <si>
    <t>* Информация представлена на 31 декабря каждого года</t>
  </si>
  <si>
    <t>Номинальная стоимость каждой обыкновенной и привилегированной акции -1 рубль.</t>
  </si>
  <si>
    <t>►Уставный капитал</t>
  </si>
  <si>
    <t>►Информация по акциям</t>
  </si>
  <si>
    <t>Нераспределенная прибыль</t>
  </si>
  <si>
    <t>Неконтрольная доля участия</t>
  </si>
  <si>
    <t>Чистое изменение по прочим резервам</t>
  </si>
  <si>
    <t>млн. руб.</t>
  </si>
  <si>
    <t>Подконтрольные расходы</t>
  </si>
  <si>
    <t>Неподконтрольные расходы</t>
  </si>
  <si>
    <t>услуги ССО</t>
  </si>
  <si>
    <t>выпадающие доходы</t>
  </si>
  <si>
    <t>прочие неподконтрольные расходы</t>
  </si>
  <si>
    <t>Возврат капитала</t>
  </si>
  <si>
    <t>Доход на капитал</t>
  </si>
  <si>
    <t>Сглаживание</t>
  </si>
  <si>
    <t>Итого необходимая валовая выручка</t>
  </si>
  <si>
    <t>Полезный отпуск электроэнергии</t>
  </si>
  <si>
    <t>млн. кВтч</t>
  </si>
  <si>
    <t>коп/кВтч</t>
  </si>
  <si>
    <t>Прирост к предыдущему году</t>
  </si>
  <si>
    <t>%</t>
  </si>
  <si>
    <t>Справочно:</t>
  </si>
  <si>
    <t>Величина инвестированного капитала на начало года (полная стоимость)</t>
  </si>
  <si>
    <t>Величина инвестированного капитала на начало года (остаточная стоимость)</t>
  </si>
  <si>
    <t>Норма доходности на инвестированный капитал ("старый")</t>
  </si>
  <si>
    <t>Норма доходности на инвестированный капитал ("новый")</t>
  </si>
  <si>
    <t>Величина ЧОК</t>
  </si>
  <si>
    <t>Норматив потерь электроэнергии</t>
  </si>
  <si>
    <t>Среднеотпускной тариф на передачу э/э*</t>
  </si>
  <si>
    <t>Объем инвестиционной программы за счет тарифа на передачу (освоение)</t>
  </si>
  <si>
    <t>Предоплата по налогу на прибыль</t>
  </si>
  <si>
    <t>Резервы</t>
  </si>
  <si>
    <t>Убыток от расторжения договоров аренды</t>
  </si>
  <si>
    <t>Денежные средства на краткосрочных депозитах</t>
  </si>
  <si>
    <t>Транзакционные издержки по облигациям и займам</t>
  </si>
  <si>
    <t>Поступления от выпуска акций</t>
  </si>
  <si>
    <t>Погашение долгосрочных кредитов и займов</t>
  </si>
  <si>
    <t>Оплаченные акции по незавершенной эмиссии</t>
  </si>
  <si>
    <t>Авансы, полученные от заказчиков ( до 2008 г. Прочие краткосрочные обязательства)</t>
  </si>
  <si>
    <t xml:space="preserve">* Данные приведены с учетом ретроспективной корректировки данных </t>
  </si>
  <si>
    <t>Обесценивание финансовых активов,имеющихся в наличии для продажи</t>
  </si>
  <si>
    <t>Досрочное погашение долгосрочных кредитов и займов</t>
  </si>
  <si>
    <t xml:space="preserve">Капитальные вложения, млн. руб. без НДС  </t>
  </si>
  <si>
    <t>Финансирование по направлениям, млн. руб. с НДС</t>
  </si>
  <si>
    <t>Техническое перевооружение и реконструкция</t>
  </si>
  <si>
    <t>Новое строительство</t>
  </si>
  <si>
    <t>Прочие</t>
  </si>
  <si>
    <t>ПО РЕГИОНАМ</t>
  </si>
  <si>
    <t xml:space="preserve">Источники финансирования инвестиционной программы </t>
  </si>
  <si>
    <t>Собственные источники</t>
  </si>
  <si>
    <t>Амортизация</t>
  </si>
  <si>
    <t xml:space="preserve">Чистая прибыль </t>
  </si>
  <si>
    <t>Прочие собственные средства</t>
  </si>
  <si>
    <t>Дополнительная эмиссия акций</t>
  </si>
  <si>
    <t>Расчеты имуществом</t>
  </si>
  <si>
    <t>Выпадающие доходы</t>
  </si>
  <si>
    <t xml:space="preserve">НДС </t>
  </si>
  <si>
    <t>Привлеченные средства</t>
  </si>
  <si>
    <t>Заемные средства (кредиты и займы)</t>
  </si>
  <si>
    <t>Авансы по  тех.присоединению</t>
  </si>
  <si>
    <t>Бюджетное финансирование</t>
  </si>
  <si>
    <t>ИТОГО финансирование, млн. руб. с НДС</t>
  </si>
  <si>
    <t>►Параметры долгосрочной Инвестиционной Программы</t>
  </si>
  <si>
    <t>Авансы под строительство основных средств</t>
  </si>
  <si>
    <t>Долгосрочные финансовые вложения</t>
  </si>
  <si>
    <t>Краткосрочные финансовые вложения</t>
  </si>
  <si>
    <t>Долгосрочные кредиты и займы, за вычетом краткосрочной части</t>
  </si>
  <si>
    <t>Торговая и прочая кредиторская задолженность</t>
  </si>
  <si>
    <t>Убыток от выбытия основных средств и нематериальных активов</t>
  </si>
  <si>
    <t>Чистое изменение резерва под обесценение дебиторской задолженности</t>
  </si>
  <si>
    <t>Чистое изменение резерва под обесценение запасов</t>
  </si>
  <si>
    <t xml:space="preserve">Увеличение /(уменьшение) торговой и прочей кредиторской задолженности </t>
  </si>
  <si>
    <t>(Уменьшение)/увеличение краткосрочных авансов полученных</t>
  </si>
  <si>
    <t>Увеличение дебиторской задолженности</t>
  </si>
  <si>
    <t>Приобретение доли в обществе</t>
  </si>
  <si>
    <t>Чистое погашение краткосрочных кредитов и займов</t>
  </si>
  <si>
    <t>Итого денежные средства полученные от финансовой деятельности</t>
  </si>
  <si>
    <t>Чистое увеличение/ (уменьшение) денежных средств и их эквивалентов</t>
  </si>
  <si>
    <t> 11,06</t>
  </si>
  <si>
    <t> 11,13</t>
  </si>
  <si>
    <t> 10,94</t>
  </si>
  <si>
    <t>Обесценение основных средств</t>
  </si>
  <si>
    <t>Обесценение/(восстановление обесценения) нематериальных активов</t>
  </si>
  <si>
    <t xml:space="preserve"> Уменьшение/(увеличение) прочих краткосрочных активов</t>
  </si>
  <si>
    <t>Уставный капитал ПАО «Ленэнерго», руб.*</t>
  </si>
  <si>
    <t>Акции ПАО «Ленэнерго»</t>
  </si>
  <si>
    <t>26 146 040</t>
  </si>
  <si>
    <t>–</t>
  </si>
  <si>
    <t>Денежные средства на субординированном депозите</t>
  </si>
  <si>
    <t xml:space="preserve"> -</t>
  </si>
  <si>
    <t>Денежные средства от приобретенных дочерних компаний</t>
  </si>
  <si>
    <t>Основные характеристики активов ПАО "Ленэнерго"</t>
  </si>
  <si>
    <t>Потери в сетях ПАО "Ленэнерго", млн.кВтч.</t>
  </si>
  <si>
    <t>Потери в сетях ПАО "Ленэнерго",%</t>
  </si>
  <si>
    <t>Выполнение Инвестиционной Программы ПАО "Ленэнерго"</t>
  </si>
  <si>
    <t>ПАО "Ленэнерго"</t>
  </si>
  <si>
    <t>ПАО Ленэнерго ИТОГО</t>
  </si>
  <si>
    <t>Ключевые параметры долгосрочной Инвестиционной программы, утвержденной приказом Минэнерго России от 28.12.2015 № 1042</t>
  </si>
  <si>
    <t>ИТОГО 
2016-2020</t>
  </si>
  <si>
    <t xml:space="preserve">ПАО «Ленэнерго» </t>
  </si>
  <si>
    <t>плата ПАО «ФСК ЕЭС»</t>
  </si>
  <si>
    <t xml:space="preserve">потери в сетях ПАО «Ленэнерго» </t>
  </si>
  <si>
    <t>*по Ленинградской области с учетом потребителей, опосредованно присоединенных к электрическим сетям сетевой организации через энергетические установки производителей электрической энергии</t>
  </si>
  <si>
    <t>х</t>
  </si>
  <si>
    <t>Индекс эффективности подконтрольных расходов</t>
  </si>
  <si>
    <t>Структура НВВ на 2015-2020 годы с учетом тарифно-балансовых решений на 2015-2016 гг. и утвержденной Минэнерго России инвестиционной программой (приказ от 28.12.15 №1042)</t>
  </si>
  <si>
    <t>ПАО "Ленэнерго", в том числе</t>
  </si>
  <si>
    <t>Структура акционерного капитала, % от  УК на последнюю дату закрытия реестра 22.05.2017 (перед ГОСА 14.06.2017)</t>
  </si>
  <si>
    <t>III уровень</t>
  </si>
  <si>
    <t>ИТОГО 
2017-2020</t>
  </si>
  <si>
    <t>3 195 174</t>
  </si>
  <si>
    <t>3 910 848</t>
  </si>
  <si>
    <t>4 526 069</t>
  </si>
  <si>
    <t>5 986 991</t>
  </si>
  <si>
    <t>Московская биржа</t>
  </si>
  <si>
    <t>Котировки обыкновенных акций ПАО «Ленэнерго» на Московской бирже, руб.*</t>
  </si>
  <si>
    <t>Котировки привилегированных акций ПАО «Ленэнерго» на Московской бирже, руб.*</t>
  </si>
  <si>
    <t>Капитализация ПАО «Ленэнерго» на Московской бирже, млн руб.**</t>
  </si>
  <si>
    <t>**расчет произведен на основе срешневзвешенной стоимости акций на последний торговый день отчетного периода</t>
  </si>
  <si>
    <t>* ЛО - в соответствии с приказом комитета по тарифам и ценовой политике ЛО от 13.07.2012 № 88-п. Утвержденный период регулирования до 2017 года.</t>
  </si>
  <si>
    <t>* СПб -  в соответствии с распоряжением Комитета оп тарифам СПб от 23.10.2015 № 197-р</t>
  </si>
  <si>
    <t>* Уровень качества обслуживания потребителей услуг</t>
  </si>
  <si>
    <t>* Уровень качества осуществляемого технологического присоединения к сети</t>
  </si>
  <si>
    <t>* Уровень надежности реализуемых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</si>
</sst>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_р_._-;\-* #,##0_р_._-;_-* &quot;-&quot;??_р_._-;_-@_-"/>
    <numFmt numFmtId="167" formatCode="#,##0;\(#,##0\);\-"/>
    <numFmt numFmtId="168" formatCode="0.0%"/>
    <numFmt numFmtId="169" formatCode="#,##0.000000"/>
    <numFmt numFmtId="170" formatCode="#,##0.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Arial Cyr"/>
      <charset val="204"/>
    </font>
    <font>
      <u/>
      <sz val="16"/>
      <name val="Arial Cyr"/>
      <charset val="204"/>
    </font>
    <font>
      <u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  <font>
      <sz val="48"/>
      <color theme="3"/>
      <name val="Calibri"/>
      <family val="2"/>
      <charset val="204"/>
      <scheme val="minor"/>
    </font>
    <font>
      <sz val="10"/>
      <color theme="3"/>
      <name val="Arial Cyr"/>
      <charset val="204"/>
    </font>
    <font>
      <sz val="10"/>
      <color theme="4"/>
      <name val="Arial Cyr"/>
      <charset val="204"/>
    </font>
    <font>
      <sz val="24"/>
      <color theme="4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9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00206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color theme="4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thin">
        <color indexed="64"/>
      </right>
      <top style="medium">
        <color indexed="64"/>
      </top>
      <bottom/>
      <diagonal/>
    </border>
    <border>
      <left style="medium">
        <color rgb="FF999999"/>
      </left>
      <right style="thin">
        <color indexed="64"/>
      </right>
      <top/>
      <bottom/>
      <diagonal/>
    </border>
    <border>
      <left style="medium">
        <color rgb="FF999999"/>
      </left>
      <right style="thin">
        <color indexed="64"/>
      </right>
      <top/>
      <bottom style="medium">
        <color indexed="64"/>
      </bottom>
      <diagonal/>
    </border>
    <border>
      <left style="medium">
        <color rgb="FFC0C0C0"/>
      </left>
      <right style="thin">
        <color indexed="64"/>
      </right>
      <top/>
      <bottom/>
      <diagonal/>
    </border>
    <border>
      <left style="medium">
        <color rgb="FFC0C0C0"/>
      </left>
      <right style="thin">
        <color indexed="64"/>
      </right>
      <top style="medium">
        <color indexed="64"/>
      </top>
      <bottom/>
      <diagonal/>
    </border>
    <border>
      <left style="medium">
        <color rgb="FFC0C0C0"/>
      </left>
      <right style="thin">
        <color indexed="64"/>
      </right>
      <top/>
      <bottom style="medium">
        <color indexed="64"/>
      </bottom>
      <diagonal/>
    </border>
    <border>
      <left style="medium">
        <color rgb="FFC0C0C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9" fillId="0" borderId="0">
      <alignment vertical="center"/>
    </xf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3">
    <xf numFmtId="0" fontId="0" fillId="0" borderId="0" xfId="0"/>
    <xf numFmtId="0" fontId="15" fillId="0" borderId="1" xfId="0" applyFont="1" applyBorder="1"/>
    <xf numFmtId="3" fontId="15" fillId="0" borderId="2" xfId="0" applyNumberFormat="1" applyFont="1" applyFill="1" applyBorder="1"/>
    <xf numFmtId="0" fontId="15" fillId="0" borderId="2" xfId="0" applyFont="1" applyBorder="1"/>
    <xf numFmtId="3" fontId="15" fillId="0" borderId="0" xfId="0" applyNumberFormat="1" applyFont="1" applyFill="1" applyBorder="1"/>
    <xf numFmtId="0" fontId="15" fillId="0" borderId="0" xfId="0" applyFont="1" applyBorder="1"/>
    <xf numFmtId="0" fontId="15" fillId="0" borderId="3" xfId="0" applyFont="1" applyBorder="1"/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Fill="1"/>
    <xf numFmtId="0" fontId="15" fillId="0" borderId="1" xfId="0" applyFont="1" applyFill="1" applyBorder="1"/>
    <xf numFmtId="0" fontId="15" fillId="0" borderId="2" xfId="0" applyFont="1" applyFill="1" applyBorder="1"/>
    <xf numFmtId="3" fontId="16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wrapText="1"/>
    </xf>
    <xf numFmtId="3" fontId="15" fillId="0" borderId="0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/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/>
    <xf numFmtId="3" fontId="15" fillId="0" borderId="1" xfId="0" applyNumberFormat="1" applyFont="1" applyFill="1" applyBorder="1" applyAlignment="1">
      <alignment horizontal="right"/>
    </xf>
    <xf numFmtId="0" fontId="15" fillId="0" borderId="8" xfId="0" applyFont="1" applyBorder="1"/>
    <xf numFmtId="0" fontId="15" fillId="0" borderId="0" xfId="0" applyFont="1" applyAlignment="1">
      <alignment horizontal="right"/>
    </xf>
    <xf numFmtId="0" fontId="15" fillId="0" borderId="8" xfId="0" applyFont="1" applyFill="1" applyBorder="1"/>
    <xf numFmtId="3" fontId="17" fillId="0" borderId="7" xfId="0" applyNumberFormat="1" applyFont="1" applyFill="1" applyBorder="1" applyAlignment="1">
      <alignment horizontal="center" vertical="center" wrapText="1" readingOrder="1"/>
    </xf>
    <xf numFmtId="3" fontId="17" fillId="0" borderId="9" xfId="0" applyNumberFormat="1" applyFont="1" applyFill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165" fontId="15" fillId="0" borderId="0" xfId="0" applyNumberFormat="1" applyFont="1" applyFill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165" fontId="15" fillId="0" borderId="0" xfId="0" applyNumberFormat="1" applyFont="1"/>
    <xf numFmtId="4" fontId="15" fillId="0" borderId="7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0" fillId="2" borderId="0" xfId="0" applyFill="1"/>
    <xf numFmtId="0" fontId="15" fillId="2" borderId="0" xfId="0" applyFont="1" applyFill="1"/>
    <xf numFmtId="0" fontId="10" fillId="2" borderId="0" xfId="0" applyFont="1" applyFill="1"/>
    <xf numFmtId="0" fontId="10" fillId="0" borderId="0" xfId="0" applyFont="1"/>
    <xf numFmtId="0" fontId="12" fillId="2" borderId="0" xfId="0" applyFont="1" applyFill="1"/>
    <xf numFmtId="0" fontId="12" fillId="0" borderId="0" xfId="0" applyFont="1"/>
    <xf numFmtId="0" fontId="13" fillId="2" borderId="0" xfId="1" applyFont="1" applyFill="1" applyAlignment="1" applyProtection="1"/>
    <xf numFmtId="0" fontId="0" fillId="2" borderId="10" xfId="0" applyFill="1" applyBorder="1"/>
    <xf numFmtId="0" fontId="0" fillId="2" borderId="1" xfId="0" applyFont="1" applyFill="1" applyBorder="1"/>
    <xf numFmtId="0" fontId="16" fillId="2" borderId="0" xfId="0" applyFont="1" applyFill="1"/>
    <xf numFmtId="0" fontId="20" fillId="2" borderId="0" xfId="0" applyFont="1" applyFill="1"/>
    <xf numFmtId="0" fontId="20" fillId="0" borderId="0" xfId="0" applyFont="1"/>
    <xf numFmtId="0" fontId="21" fillId="2" borderId="0" xfId="1" applyFont="1" applyFill="1" applyAlignment="1" applyProtection="1"/>
    <xf numFmtId="0" fontId="0" fillId="0" borderId="0" xfId="0" applyBorder="1"/>
    <xf numFmtId="0" fontId="20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12" fillId="0" borderId="0" xfId="0" applyFont="1" applyFill="1" applyBorder="1"/>
    <xf numFmtId="0" fontId="13" fillId="0" borderId="0" xfId="1" applyFont="1" applyFill="1" applyAlignment="1" applyProtection="1"/>
    <xf numFmtId="0" fontId="13" fillId="0" borderId="0" xfId="1" applyFont="1" applyFill="1" applyBorder="1" applyAlignment="1" applyProtection="1"/>
    <xf numFmtId="0" fontId="12" fillId="0" borderId="0" xfId="0" applyFont="1" applyFill="1"/>
    <xf numFmtId="0" fontId="15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 readingOrder="1"/>
    </xf>
    <xf numFmtId="0" fontId="15" fillId="0" borderId="10" xfId="0" applyFont="1" applyBorder="1"/>
    <xf numFmtId="0" fontId="15" fillId="0" borderId="5" xfId="0" applyFont="1" applyFill="1" applyBorder="1"/>
    <xf numFmtId="0" fontId="16" fillId="0" borderId="11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9" fillId="0" borderId="0" xfId="0" applyFont="1"/>
    <xf numFmtId="0" fontId="15" fillId="0" borderId="5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0" fontId="16" fillId="0" borderId="18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 wrapText="1"/>
    </xf>
    <xf numFmtId="0" fontId="16" fillId="0" borderId="19" xfId="0" applyFont="1" applyFill="1" applyBorder="1" applyAlignment="1">
      <alignment wrapText="1"/>
    </xf>
    <xf numFmtId="0" fontId="19" fillId="0" borderId="4" xfId="0" applyFont="1" applyFill="1" applyBorder="1"/>
    <xf numFmtId="3" fontId="19" fillId="0" borderId="0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14" xfId="0" applyFont="1" applyFill="1" applyBorder="1"/>
    <xf numFmtId="167" fontId="15" fillId="0" borderId="0" xfId="0" applyNumberFormat="1" applyFont="1" applyFill="1"/>
    <xf numFmtId="0" fontId="16" fillId="0" borderId="15" xfId="0" applyFont="1" applyFill="1" applyBorder="1"/>
    <xf numFmtId="167" fontId="15" fillId="0" borderId="0" xfId="0" applyNumberFormat="1" applyFont="1" applyFill="1" applyBorder="1"/>
    <xf numFmtId="0" fontId="15" fillId="0" borderId="14" xfId="0" applyFont="1" applyFill="1" applyBorder="1" applyAlignment="1">
      <alignment wrapText="1"/>
    </xf>
    <xf numFmtId="0" fontId="16" fillId="0" borderId="14" xfId="0" applyFont="1" applyFill="1" applyBorder="1"/>
    <xf numFmtId="0" fontId="15" fillId="0" borderId="15" xfId="0" applyFont="1" applyFill="1" applyBorder="1"/>
    <xf numFmtId="167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15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right" wrapText="1"/>
    </xf>
    <xf numFmtId="9" fontId="15" fillId="0" borderId="0" xfId="3" applyFont="1" applyFill="1"/>
    <xf numFmtId="3" fontId="15" fillId="0" borderId="0" xfId="0" applyNumberFormat="1" applyFont="1" applyFill="1"/>
    <xf numFmtId="0" fontId="15" fillId="0" borderId="14" xfId="0" applyFont="1" applyFill="1" applyBorder="1" applyAlignment="1">
      <alignment horizontal="justify"/>
    </xf>
    <xf numFmtId="0" fontId="16" fillId="0" borderId="4" xfId="0" applyFont="1" applyFill="1" applyBorder="1"/>
    <xf numFmtId="167" fontId="15" fillId="0" borderId="0" xfId="0" applyNumberFormat="1" applyFont="1" applyFill="1" applyBorder="1" applyAlignment="1">
      <alignment horizontal="right" wrapText="1"/>
    </xf>
    <xf numFmtId="0" fontId="16" fillId="0" borderId="5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6" fillId="0" borderId="6" xfId="0" applyFont="1" applyFill="1" applyBorder="1"/>
    <xf numFmtId="0" fontId="16" fillId="0" borderId="4" xfId="2" applyFont="1" applyFill="1" applyBorder="1" applyAlignment="1"/>
    <xf numFmtId="0" fontId="16" fillId="0" borderId="0" xfId="2" applyFont="1" applyFill="1" applyAlignment="1"/>
    <xf numFmtId="0" fontId="16" fillId="0" borderId="7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horizontal="center" vertical="center" wrapText="1"/>
    </xf>
    <xf numFmtId="3" fontId="15" fillId="0" borderId="7" xfId="2" applyNumberFormat="1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5" fillId="0" borderId="4" xfId="2" applyFont="1" applyFill="1" applyBorder="1"/>
    <xf numFmtId="0" fontId="15" fillId="0" borderId="0" xfId="2" applyFont="1" applyFill="1" applyAlignment="1">
      <alignment horizontal="center"/>
    </xf>
    <xf numFmtId="0" fontId="15" fillId="0" borderId="0" xfId="2" applyFont="1" applyFill="1" applyAlignment="1"/>
    <xf numFmtId="0" fontId="16" fillId="0" borderId="11" xfId="2" applyFont="1" applyFill="1" applyBorder="1" applyAlignment="1">
      <alignment horizontal="center" vertical="center" wrapText="1"/>
    </xf>
    <xf numFmtId="3" fontId="15" fillId="0" borderId="0" xfId="2" applyNumberFormat="1" applyFont="1" applyFill="1" applyAlignment="1">
      <alignment horizontal="center"/>
    </xf>
    <xf numFmtId="0" fontId="19" fillId="0" borderId="7" xfId="2" applyFont="1" applyFill="1" applyBorder="1" applyAlignment="1">
      <alignment vertical="center" wrapText="1"/>
    </xf>
    <xf numFmtId="0" fontId="19" fillId="0" borderId="11" xfId="2" applyFont="1" applyFill="1" applyBorder="1" applyAlignment="1">
      <alignment horizontal="center" vertical="center" wrapText="1"/>
    </xf>
    <xf numFmtId="3" fontId="19" fillId="0" borderId="7" xfId="2" applyNumberFormat="1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vertical="center" wrapText="1"/>
    </xf>
    <xf numFmtId="0" fontId="19" fillId="0" borderId="12" xfId="2" applyFont="1" applyFill="1" applyBorder="1" applyAlignment="1">
      <alignment horizontal="center" vertical="center" wrapText="1"/>
    </xf>
    <xf numFmtId="3" fontId="19" fillId="0" borderId="9" xfId="2" applyNumberFormat="1" applyFont="1" applyFill="1" applyBorder="1" applyAlignment="1">
      <alignment horizontal="center" vertical="center"/>
    </xf>
    <xf numFmtId="4" fontId="15" fillId="0" borderId="0" xfId="2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 readingOrder="1"/>
    </xf>
    <xf numFmtId="166" fontId="22" fillId="0" borderId="11" xfId="4" applyNumberFormat="1" applyFont="1" applyFill="1" applyBorder="1" applyAlignment="1">
      <alignment horizontal="center" readingOrder="1"/>
    </xf>
    <xf numFmtId="166" fontId="22" fillId="0" borderId="7" xfId="4" applyNumberFormat="1" applyFont="1" applyFill="1" applyBorder="1" applyAlignment="1">
      <alignment horizontal="center" readingOrder="1"/>
    </xf>
    <xf numFmtId="166" fontId="17" fillId="0" borderId="7" xfId="4" applyNumberFormat="1" applyFont="1" applyFill="1" applyBorder="1" applyAlignment="1">
      <alignment horizontal="center" wrapText="1" readingOrder="1"/>
    </xf>
    <xf numFmtId="0" fontId="17" fillId="0" borderId="9" xfId="0" applyFont="1" applyFill="1" applyBorder="1" applyAlignment="1">
      <alignment horizontal="left" vertical="center" wrapText="1" readingOrder="1"/>
    </xf>
    <xf numFmtId="166" fontId="22" fillId="0" borderId="12" xfId="4" applyNumberFormat="1" applyFont="1" applyFill="1" applyBorder="1" applyAlignment="1">
      <alignment horizontal="center" readingOrder="1"/>
    </xf>
    <xf numFmtId="166" fontId="22" fillId="0" borderId="9" xfId="4" applyNumberFormat="1" applyFont="1" applyFill="1" applyBorder="1" applyAlignment="1">
      <alignment horizontal="center" readingOrder="1"/>
    </xf>
    <xf numFmtId="166" fontId="17" fillId="0" borderId="9" xfId="4" applyNumberFormat="1" applyFont="1" applyFill="1" applyBorder="1" applyAlignment="1">
      <alignment horizont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left" vertical="center" wrapText="1" readingOrder="1"/>
    </xf>
    <xf numFmtId="0" fontId="15" fillId="0" borderId="10" xfId="0" applyFont="1" applyFill="1" applyBorder="1"/>
    <xf numFmtId="2" fontId="15" fillId="0" borderId="1" xfId="0" applyNumberFormat="1" applyFont="1" applyFill="1" applyBorder="1"/>
    <xf numFmtId="3" fontId="15" fillId="0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23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3" fontId="15" fillId="0" borderId="0" xfId="0" applyNumberFormat="1" applyFont="1" applyFill="1" applyBorder="1" applyAlignment="1">
      <alignment wrapText="1"/>
    </xf>
    <xf numFmtId="0" fontId="24" fillId="2" borderId="1" xfId="0" applyFont="1" applyFill="1" applyBorder="1"/>
    <xf numFmtId="0" fontId="25" fillId="2" borderId="1" xfId="0" applyFont="1" applyFill="1" applyBorder="1"/>
    <xf numFmtId="0" fontId="27" fillId="2" borderId="10" xfId="0" applyFont="1" applyFill="1" applyBorder="1"/>
    <xf numFmtId="0" fontId="26" fillId="2" borderId="10" xfId="0" applyFont="1" applyFill="1" applyBorder="1"/>
    <xf numFmtId="3" fontId="28" fillId="0" borderId="1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1" xfId="0" applyNumberFormat="1" applyFont="1" applyFill="1" applyBorder="1" applyAlignment="1">
      <alignment horizontal="right" wrapText="1"/>
    </xf>
    <xf numFmtId="167" fontId="28" fillId="0" borderId="1" xfId="0" applyNumberFormat="1" applyFont="1" applyFill="1" applyBorder="1" applyAlignment="1">
      <alignment horizontal="right" wrapText="1"/>
    </xf>
    <xf numFmtId="167" fontId="28" fillId="0" borderId="0" xfId="0" applyNumberFormat="1" applyFont="1" applyFill="1" applyBorder="1" applyAlignment="1">
      <alignment horizontal="right" wrapText="1"/>
    </xf>
    <xf numFmtId="167" fontId="28" fillId="0" borderId="0" xfId="0" applyNumberFormat="1" applyFont="1" applyFill="1"/>
    <xf numFmtId="167" fontId="28" fillId="0" borderId="0" xfId="0" applyNumberFormat="1" applyFont="1" applyFill="1" applyBorder="1"/>
    <xf numFmtId="3" fontId="28" fillId="0" borderId="3" xfId="0" applyNumberFormat="1" applyFont="1" applyFill="1" applyBorder="1" applyAlignment="1">
      <alignment horizontal="right" wrapText="1"/>
    </xf>
    <xf numFmtId="3" fontId="28" fillId="0" borderId="9" xfId="2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66" fontId="17" fillId="0" borderId="11" xfId="4" applyNumberFormat="1" applyFont="1" applyFill="1" applyBorder="1" applyAlignment="1">
      <alignment horizontal="center" vertical="center" wrapText="1"/>
    </xf>
    <xf numFmtId="166" fontId="17" fillId="0" borderId="7" xfId="4" applyNumberFormat="1" applyFont="1" applyFill="1" applyBorder="1" applyAlignment="1">
      <alignment horizontal="center" vertical="center" wrapText="1"/>
    </xf>
    <xf numFmtId="166" fontId="17" fillId="0" borderId="12" xfId="4" applyNumberFormat="1" applyFont="1" applyFill="1" applyBorder="1" applyAlignment="1">
      <alignment horizontal="center" vertical="center" wrapText="1"/>
    </xf>
    <xf numFmtId="166" fontId="17" fillId="0" borderId="9" xfId="4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10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0" fontId="16" fillId="0" borderId="0" xfId="0" applyFont="1" applyFill="1"/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2" fontId="15" fillId="0" borderId="0" xfId="6" applyNumberFormat="1" applyFont="1" applyFill="1" applyBorder="1" applyAlignment="1">
      <alignment horizontal="center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right" wrapText="1"/>
    </xf>
    <xf numFmtId="2" fontId="15" fillId="0" borderId="0" xfId="0" applyNumberFormat="1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wrapText="1"/>
    </xf>
    <xf numFmtId="2" fontId="15" fillId="0" borderId="0" xfId="4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justify" wrapText="1"/>
    </xf>
    <xf numFmtId="0" fontId="0" fillId="0" borderId="8" xfId="0" applyFill="1" applyBorder="1"/>
    <xf numFmtId="0" fontId="15" fillId="0" borderId="1" xfId="0" applyFont="1" applyFill="1" applyBorder="1" applyAlignment="1">
      <alignment horizontal="justify" wrapText="1"/>
    </xf>
    <xf numFmtId="2" fontId="15" fillId="0" borderId="1" xfId="0" applyNumberFormat="1" applyFont="1" applyFill="1" applyBorder="1" applyAlignment="1">
      <alignment horizontal="right" wrapText="1"/>
    </xf>
    <xf numFmtId="2" fontId="1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2" fontId="15" fillId="0" borderId="8" xfId="0" applyNumberFormat="1" applyFont="1" applyFill="1" applyBorder="1" applyAlignment="1">
      <alignment wrapText="1"/>
    </xf>
    <xf numFmtId="0" fontId="16" fillId="0" borderId="0" xfId="0" applyFont="1"/>
    <xf numFmtId="0" fontId="31" fillId="0" borderId="0" xfId="0" applyFont="1"/>
    <xf numFmtId="0" fontId="15" fillId="0" borderId="10" xfId="0" applyFont="1" applyFill="1" applyBorder="1" applyAlignment="1">
      <alignment horizontal="justify" wrapText="1"/>
    </xf>
    <xf numFmtId="2" fontId="15" fillId="0" borderId="10" xfId="0" applyNumberFormat="1" applyFon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2" fontId="15" fillId="0" borderId="8" xfId="0" applyNumberFormat="1" applyFont="1" applyFill="1" applyBorder="1" applyAlignment="1">
      <alignment horizontal="right" wrapText="1"/>
    </xf>
    <xf numFmtId="2" fontId="16" fillId="0" borderId="8" xfId="0" applyNumberFormat="1" applyFont="1" applyFill="1" applyBorder="1" applyAlignment="1">
      <alignment horizontal="right" wrapText="1"/>
    </xf>
    <xf numFmtId="2" fontId="15" fillId="0" borderId="8" xfId="0" applyNumberFormat="1" applyFont="1" applyFill="1" applyBorder="1"/>
    <xf numFmtId="0" fontId="16" fillId="0" borderId="21" xfId="0" applyFont="1" applyFill="1" applyBorder="1" applyAlignment="1">
      <alignment horizontal="justify" wrapText="1"/>
    </xf>
    <xf numFmtId="0" fontId="16" fillId="0" borderId="21" xfId="0" applyFont="1" applyFill="1" applyBorder="1" applyAlignment="1">
      <alignment horizontal="center" wrapText="1"/>
    </xf>
    <xf numFmtId="0" fontId="0" fillId="0" borderId="21" xfId="0" applyFill="1" applyBorder="1"/>
    <xf numFmtId="0" fontId="16" fillId="0" borderId="0" xfId="0" applyFont="1" applyFill="1" applyBorder="1" applyAlignment="1">
      <alignment horizontal="right" wrapText="1"/>
    </xf>
    <xf numFmtId="0" fontId="16" fillId="0" borderId="8" xfId="0" applyFont="1" applyBorder="1"/>
    <xf numFmtId="0" fontId="31" fillId="0" borderId="8" xfId="0" applyFont="1" applyBorder="1"/>
    <xf numFmtId="0" fontId="3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readingOrder="1"/>
    </xf>
    <xf numFmtId="0" fontId="32" fillId="0" borderId="0" xfId="0" applyFont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0" fontId="17" fillId="0" borderId="1" xfId="0" applyFont="1" applyFill="1" applyBorder="1" applyAlignment="1">
      <alignment horizontal="left" vertical="center" wrapText="1" readingOrder="1"/>
    </xf>
    <xf numFmtId="0" fontId="15" fillId="5" borderId="0" xfId="0" applyFont="1" applyFill="1" applyBorder="1"/>
    <xf numFmtId="0" fontId="16" fillId="5" borderId="1" xfId="0" applyFont="1" applyFill="1" applyBorder="1" applyAlignment="1">
      <alignment horizontal="center"/>
    </xf>
    <xf numFmtId="0" fontId="15" fillId="5" borderId="1" xfId="0" applyFont="1" applyFill="1" applyBorder="1"/>
    <xf numFmtId="3" fontId="28" fillId="5" borderId="1" xfId="0" applyNumberFormat="1" applyFont="1" applyFill="1" applyBorder="1" applyAlignment="1">
      <alignment horizontal="right" wrapText="1"/>
    </xf>
    <xf numFmtId="0" fontId="15" fillId="5" borderId="0" xfId="0" applyFont="1" applyFill="1"/>
    <xf numFmtId="3" fontId="15" fillId="5" borderId="0" xfId="0" applyNumberFormat="1" applyFont="1" applyFill="1" applyBorder="1"/>
    <xf numFmtId="167" fontId="15" fillId="5" borderId="0" xfId="0" applyNumberFormat="1" applyFont="1" applyFill="1" applyBorder="1"/>
    <xf numFmtId="3" fontId="28" fillId="5" borderId="3" xfId="0" applyNumberFormat="1" applyFont="1" applyFill="1" applyBorder="1" applyAlignment="1">
      <alignment horizontal="right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7" xfId="0" applyFont="1" applyFill="1" applyBorder="1"/>
    <xf numFmtId="166" fontId="17" fillId="0" borderId="0" xfId="0" applyNumberFormat="1" applyFont="1" applyFill="1" applyBorder="1" applyAlignment="1">
      <alignment horizontal="center" vertical="center" wrapText="1" readingOrder="1"/>
    </xf>
    <xf numFmtId="3" fontId="15" fillId="0" borderId="7" xfId="0" applyNumberFormat="1" applyFont="1" applyFill="1" applyBorder="1"/>
    <xf numFmtId="0" fontId="17" fillId="0" borderId="9" xfId="0" applyFont="1" applyFill="1" applyBorder="1" applyAlignment="1">
      <alignment horizontal="center" vertical="center" wrapText="1" readingOrder="1"/>
    </xf>
    <xf numFmtId="0" fontId="15" fillId="0" borderId="9" xfId="0" applyFont="1" applyFill="1" applyBorder="1"/>
    <xf numFmtId="0" fontId="18" fillId="0" borderId="20" xfId="0" applyFont="1" applyFill="1" applyBorder="1" applyAlignment="1">
      <alignment horizontal="center" vertical="center" wrapText="1" readingOrder="1"/>
    </xf>
    <xf numFmtId="0" fontId="18" fillId="0" borderId="24" xfId="0" applyFont="1" applyFill="1" applyBorder="1" applyAlignment="1">
      <alignment horizontal="center" vertical="center" wrapText="1" readingOrder="1"/>
    </xf>
    <xf numFmtId="3" fontId="15" fillId="0" borderId="22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2" fontId="15" fillId="0" borderId="0" xfId="0" applyNumberFormat="1" applyFont="1" applyFill="1" applyBorder="1" applyAlignment="1"/>
    <xf numFmtId="2" fontId="15" fillId="0" borderId="10" xfId="0" applyNumberFormat="1" applyFont="1" applyFill="1" applyBorder="1" applyAlignment="1">
      <alignment wrapText="1"/>
    </xf>
    <xf numFmtId="0" fontId="15" fillId="0" borderId="16" xfId="0" applyFont="1" applyFill="1" applyBorder="1"/>
    <xf numFmtId="167" fontId="15" fillId="5" borderId="0" xfId="0" applyNumberFormat="1" applyFont="1" applyFill="1"/>
    <xf numFmtId="167" fontId="28" fillId="5" borderId="0" xfId="0" applyNumberFormat="1" applyFont="1" applyFill="1" applyBorder="1"/>
    <xf numFmtId="0" fontId="33" fillId="0" borderId="1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22" fillId="0" borderId="8" xfId="0" applyFont="1" applyFill="1" applyBorder="1"/>
    <xf numFmtId="165" fontId="34" fillId="0" borderId="11" xfId="0" applyNumberFormat="1" applyFont="1" applyFill="1" applyBorder="1" applyAlignment="1">
      <alignment horizontal="center"/>
    </xf>
    <xf numFmtId="165" fontId="34" fillId="0" borderId="1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/>
    </xf>
    <xf numFmtId="3" fontId="22" fillId="0" borderId="7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9" xfId="0" applyFont="1" applyFill="1" applyBorder="1" applyAlignment="1">
      <alignment horizontal="left"/>
    </xf>
    <xf numFmtId="3" fontId="22" fillId="0" borderId="9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4" xfId="0" applyFont="1" applyFill="1" applyBorder="1" applyAlignment="1">
      <alignment horizontal="left"/>
    </xf>
    <xf numFmtId="165" fontId="22" fillId="0" borderId="0" xfId="0" applyNumberFormat="1" applyFont="1" applyFill="1"/>
    <xf numFmtId="0" fontId="22" fillId="0" borderId="0" xfId="0" applyFont="1" applyFill="1"/>
    <xf numFmtId="4" fontId="22" fillId="0" borderId="11" xfId="0" applyNumberFormat="1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3" fontId="15" fillId="5" borderId="7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left"/>
    </xf>
    <xf numFmtId="0" fontId="19" fillId="0" borderId="0" xfId="0" applyFont="1" applyFill="1"/>
    <xf numFmtId="0" fontId="16" fillId="5" borderId="7" xfId="2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 readingOrder="1"/>
    </xf>
    <xf numFmtId="0" fontId="17" fillId="0" borderId="0" xfId="0" applyFont="1" applyAlignment="1">
      <alignment horizontal="justify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justify" wrapText="1"/>
    </xf>
    <xf numFmtId="0" fontId="16" fillId="0" borderId="54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/>
    </xf>
    <xf numFmtId="3" fontId="16" fillId="0" borderId="7" xfId="2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/>
    <xf numFmtId="4" fontId="16" fillId="0" borderId="1" xfId="0" applyNumberFormat="1" applyFont="1" applyFill="1" applyBorder="1" applyAlignment="1">
      <alignment horizontal="right" wrapText="1"/>
    </xf>
    <xf numFmtId="0" fontId="16" fillId="5" borderId="10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 vertical="center" wrapText="1" readingOrder="1"/>
    </xf>
    <xf numFmtId="0" fontId="17" fillId="0" borderId="25" xfId="0" applyFont="1" applyFill="1" applyBorder="1" applyAlignment="1">
      <alignment horizontal="center" vertical="center" wrapText="1" readingOrder="1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 readingOrder="1"/>
    </xf>
    <xf numFmtId="3" fontId="15" fillId="0" borderId="0" xfId="0" applyNumberFormat="1" applyFont="1" applyFill="1" applyBorder="1" applyAlignment="1">
      <alignment horizontal="center"/>
    </xf>
    <xf numFmtId="3" fontId="15" fillId="5" borderId="2" xfId="0" applyNumberFormat="1" applyFont="1" applyFill="1" applyBorder="1"/>
    <xf numFmtId="3" fontId="15" fillId="0" borderId="0" xfId="0" applyNumberFormat="1" applyFont="1"/>
    <xf numFmtId="2" fontId="1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0" xfId="0" applyNumberFormat="1" applyFont="1" applyFill="1" applyBorder="1"/>
    <xf numFmtId="2" fontId="15" fillId="5" borderId="1" xfId="0" applyNumberFormat="1" applyFont="1" applyFill="1" applyBorder="1" applyAlignment="1">
      <alignment horizontal="center" vertical="center"/>
    </xf>
    <xf numFmtId="2" fontId="15" fillId="5" borderId="8" xfId="0" applyNumberFormat="1" applyFont="1" applyFill="1" applyBorder="1"/>
    <xf numFmtId="0" fontId="17" fillId="0" borderId="7" xfId="0" applyFont="1" applyFill="1" applyBorder="1" applyAlignment="1">
      <alignment horizontal="center" vertical="center" wrapText="1" readingOrder="1"/>
    </xf>
    <xf numFmtId="0" fontId="17" fillId="0" borderId="22" xfId="0" applyFont="1" applyFill="1" applyBorder="1" applyAlignment="1">
      <alignment horizontal="center" vertical="center" wrapText="1" readingOrder="1"/>
    </xf>
    <xf numFmtId="0" fontId="35" fillId="0" borderId="0" xfId="0" applyFont="1" applyFill="1" applyBorder="1"/>
    <xf numFmtId="0" fontId="35" fillId="0" borderId="0" xfId="0" applyFont="1" applyBorder="1"/>
    <xf numFmtId="0" fontId="18" fillId="0" borderId="0" xfId="0" applyFont="1" applyFill="1" applyBorder="1" applyAlignment="1">
      <alignment vertical="center" wrapText="1" readingOrder="1"/>
    </xf>
    <xf numFmtId="0" fontId="16" fillId="5" borderId="0" xfId="0" applyFont="1" applyFill="1" applyBorder="1" applyAlignment="1"/>
    <xf numFmtId="0" fontId="17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0" fontId="17" fillId="0" borderId="10" xfId="0" applyFont="1" applyFill="1" applyBorder="1" applyAlignment="1">
      <alignment horizontal="left" vertical="center" wrapText="1" readingOrder="1"/>
    </xf>
    <xf numFmtId="3" fontId="17" fillId="0" borderId="10" xfId="0" applyNumberFormat="1" applyFont="1" applyFill="1" applyBorder="1" applyAlignment="1">
      <alignment horizontal="right" vertical="center" wrapText="1" readingOrder="1"/>
    </xf>
    <xf numFmtId="0" fontId="36" fillId="0" borderId="0" xfId="0" applyFont="1" applyFill="1" applyBorder="1" applyAlignment="1">
      <alignment horizontal="left" vertical="center" wrapText="1" readingOrder="1"/>
    </xf>
    <xf numFmtId="0" fontId="37" fillId="0" borderId="0" xfId="0" applyFont="1" applyBorder="1" applyAlignment="1">
      <alignment horizontal="left" wrapText="1" indent="2"/>
    </xf>
    <xf numFmtId="3" fontId="17" fillId="0" borderId="1" xfId="0" applyNumberFormat="1" applyFont="1" applyFill="1" applyBorder="1" applyAlignment="1">
      <alignment horizontal="right" vertical="center" wrapText="1" readingOrder="1"/>
    </xf>
    <xf numFmtId="0" fontId="38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6" borderId="0" xfId="0" applyFont="1" applyFill="1" applyBorder="1" applyAlignment="1"/>
    <xf numFmtId="0" fontId="15" fillId="6" borderId="0" xfId="0" applyFont="1" applyFill="1" applyBorder="1"/>
    <xf numFmtId="166" fontId="17" fillId="0" borderId="10" xfId="4" applyNumberFormat="1" applyFont="1" applyFill="1" applyBorder="1" applyAlignment="1">
      <alignment horizontal="right" wrapText="1" readingOrder="1"/>
    </xf>
    <xf numFmtId="166" fontId="17" fillId="0" borderId="10" xfId="4" applyNumberFormat="1" applyFont="1" applyFill="1" applyBorder="1" applyAlignment="1">
      <alignment horizontal="center" wrapText="1" readingOrder="1"/>
    </xf>
    <xf numFmtId="166" fontId="17" fillId="0" borderId="0" xfId="4" applyNumberFormat="1" applyFont="1" applyFill="1" applyBorder="1" applyAlignment="1">
      <alignment horizontal="center" wrapText="1" readingOrder="1"/>
    </xf>
    <xf numFmtId="0" fontId="18" fillId="6" borderId="0" xfId="0" applyFont="1" applyFill="1" applyBorder="1" applyAlignment="1">
      <alignment vertical="center" wrapText="1" readingOrder="1"/>
    </xf>
    <xf numFmtId="166" fontId="17" fillId="0" borderId="0" xfId="4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center" readingOrder="1"/>
    </xf>
    <xf numFmtId="0" fontId="17" fillId="5" borderId="0" xfId="0" applyFont="1" applyFill="1" applyBorder="1" applyAlignment="1">
      <alignment horizontal="center" vertical="center" wrapText="1" readingOrder="1"/>
    </xf>
    <xf numFmtId="0" fontId="39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left" vertical="center" wrapText="1" readingOrder="1"/>
    </xf>
    <xf numFmtId="0" fontId="32" fillId="0" borderId="0" xfId="0" applyFont="1" applyFill="1" applyBorder="1" applyAlignment="1">
      <alignment horizontal="left" vertical="center" wrapText="1" indent="2" readingOrder="1"/>
    </xf>
    <xf numFmtId="0" fontId="40" fillId="0" borderId="1" xfId="0" applyFont="1" applyFill="1" applyBorder="1" applyAlignment="1">
      <alignment horizontal="left" wrapText="1" readingOrder="1"/>
    </xf>
    <xf numFmtId="0" fontId="16" fillId="0" borderId="2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" fontId="15" fillId="5" borderId="0" xfId="0" applyNumberFormat="1" applyFont="1" applyFill="1"/>
    <xf numFmtId="3" fontId="16" fillId="5" borderId="0" xfId="0" applyNumberFormat="1" applyFont="1" applyFill="1" applyBorder="1" applyAlignment="1">
      <alignment horizontal="right" wrapText="1"/>
    </xf>
    <xf numFmtId="4" fontId="15" fillId="5" borderId="1" xfId="0" applyNumberFormat="1" applyFont="1" applyFill="1" applyBorder="1"/>
    <xf numFmtId="3" fontId="41" fillId="5" borderId="1" xfId="0" applyNumberFormat="1" applyFont="1" applyFill="1" applyBorder="1"/>
    <xf numFmtId="3" fontId="15" fillId="5" borderId="1" xfId="0" applyNumberFormat="1" applyFont="1" applyFill="1" applyBorder="1" applyAlignment="1">
      <alignment horizontal="right" wrapText="1"/>
    </xf>
    <xf numFmtId="3" fontId="15" fillId="5" borderId="0" xfId="0" applyNumberFormat="1" applyFont="1" applyFill="1" applyBorder="1" applyAlignment="1">
      <alignment horizontal="right" wrapText="1"/>
    </xf>
    <xf numFmtId="0" fontId="19" fillId="0" borderId="4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 vertical="center" wrapText="1" readingOrder="1"/>
    </xf>
    <xf numFmtId="167" fontId="15" fillId="5" borderId="0" xfId="0" applyNumberFormat="1" applyFont="1" applyFill="1" applyBorder="1" applyAlignment="1">
      <alignment horizontal="right" wrapText="1"/>
    </xf>
    <xf numFmtId="3" fontId="28" fillId="5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167" fontId="15" fillId="2" borderId="0" xfId="0" applyNumberFormat="1" applyFont="1" applyFill="1" applyBorder="1" applyAlignment="1">
      <alignment horizontal="right" wrapText="1"/>
    </xf>
    <xf numFmtId="3" fontId="28" fillId="5" borderId="0" xfId="0" applyNumberFormat="1" applyFont="1" applyFill="1" applyBorder="1" applyAlignment="1">
      <alignment horizontal="right" wrapText="1"/>
    </xf>
    <xf numFmtId="167" fontId="28" fillId="5" borderId="1" xfId="0" applyNumberFormat="1" applyFont="1" applyFill="1" applyBorder="1" applyAlignment="1">
      <alignment horizontal="right" wrapText="1"/>
    </xf>
    <xf numFmtId="167" fontId="28" fillId="5" borderId="0" xfId="0" applyNumberFormat="1" applyFont="1" applyFill="1" applyBorder="1" applyAlignment="1">
      <alignment horizontal="right" wrapText="1"/>
    </xf>
    <xf numFmtId="4" fontId="22" fillId="5" borderId="7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 readingOrder="1"/>
    </xf>
    <xf numFmtId="3" fontId="15" fillId="5" borderId="7" xfId="0" applyNumberFormat="1" applyFont="1" applyFill="1" applyBorder="1"/>
    <xf numFmtId="0" fontId="31" fillId="0" borderId="8" xfId="0" applyFont="1" applyFill="1" applyBorder="1"/>
    <xf numFmtId="3" fontId="15" fillId="5" borderId="0" xfId="0" applyNumberFormat="1" applyFont="1" applyFill="1" applyBorder="1" applyAlignment="1">
      <alignment horizontal="right"/>
    </xf>
    <xf numFmtId="3" fontId="15" fillId="5" borderId="9" xfId="0" applyNumberFormat="1" applyFont="1" applyFill="1" applyBorder="1" applyAlignment="1">
      <alignment horizontal="center"/>
    </xf>
    <xf numFmtId="4" fontId="22" fillId="5" borderId="9" xfId="0" applyNumberFormat="1" applyFont="1" applyFill="1" applyBorder="1" applyAlignment="1">
      <alignment horizontal="center"/>
    </xf>
    <xf numFmtId="3" fontId="15" fillId="5" borderId="9" xfId="0" applyNumberFormat="1" applyFont="1" applyFill="1" applyBorder="1"/>
    <xf numFmtId="0" fontId="17" fillId="0" borderId="8" xfId="0" applyFont="1" applyFill="1" applyBorder="1" applyAlignment="1">
      <alignment horizontal="left" vertical="center" wrapText="1" readingOrder="1"/>
    </xf>
    <xf numFmtId="3" fontId="17" fillId="0" borderId="8" xfId="0" applyNumberFormat="1" applyFont="1" applyFill="1" applyBorder="1" applyAlignment="1">
      <alignment horizontal="right" vertical="center" wrapText="1" readingOrder="1"/>
    </xf>
    <xf numFmtId="0" fontId="18" fillId="0" borderId="8" xfId="0" applyFont="1" applyFill="1" applyBorder="1" applyAlignment="1">
      <alignment horizontal="center" vertical="center" wrapText="1" readingOrder="1"/>
    </xf>
    <xf numFmtId="0" fontId="43" fillId="0" borderId="0" xfId="0" applyFont="1" applyBorder="1"/>
    <xf numFmtId="0" fontId="44" fillId="0" borderId="0" xfId="0" applyFont="1" applyBorder="1" applyAlignment="1">
      <alignment vertical="center"/>
    </xf>
    <xf numFmtId="4" fontId="45" fillId="0" borderId="0" xfId="20" applyNumberFormat="1" applyFont="1" applyBorder="1" applyAlignment="1">
      <alignment horizontal="right" wrapText="1" readingOrder="1"/>
    </xf>
    <xf numFmtId="3" fontId="11" fillId="0" borderId="0" xfId="0" applyNumberFormat="1" applyFont="1" applyBorder="1"/>
    <xf numFmtId="0" fontId="0" fillId="0" borderId="0" xfId="0" applyBorder="1" applyAlignment="1">
      <alignment vertical="center"/>
    </xf>
    <xf numFmtId="3" fontId="32" fillId="0" borderId="0" xfId="0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right" wrapText="1" readingOrder="1"/>
    </xf>
    <xf numFmtId="3" fontId="40" fillId="0" borderId="1" xfId="0" applyNumberFormat="1" applyFont="1" applyFill="1" applyBorder="1" applyAlignment="1">
      <alignment horizontal="right" wrapText="1" readingOrder="1"/>
    </xf>
    <xf numFmtId="3" fontId="15" fillId="0" borderId="9" xfId="0" applyNumberFormat="1" applyFont="1" applyFill="1" applyBorder="1"/>
    <xf numFmtId="0" fontId="16" fillId="0" borderId="0" xfId="0" applyFont="1"/>
    <xf numFmtId="0" fontId="16" fillId="0" borderId="10" xfId="0" applyFont="1" applyFill="1" applyBorder="1" applyAlignment="1">
      <alignment horizontal="left"/>
    </xf>
    <xf numFmtId="0" fontId="31" fillId="0" borderId="0" xfId="0" applyFont="1" applyFill="1"/>
    <xf numFmtId="3" fontId="41" fillId="0" borderId="1" xfId="0" applyNumberFormat="1" applyFont="1" applyFill="1" applyBorder="1"/>
    <xf numFmtId="3" fontId="16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/>
    <xf numFmtId="4" fontId="15" fillId="0" borderId="1" xfId="0" applyNumberFormat="1" applyFont="1" applyFill="1" applyBorder="1"/>
    <xf numFmtId="3" fontId="16" fillId="0" borderId="0" xfId="0" applyNumberFormat="1" applyFont="1" applyFill="1" applyAlignment="1">
      <alignment horizontal="right" wrapText="1"/>
    </xf>
    <xf numFmtId="4" fontId="16" fillId="0" borderId="0" xfId="0" applyNumberFormat="1" applyFont="1" applyFill="1" applyAlignment="1">
      <alignment horizontal="right" wrapText="1"/>
    </xf>
    <xf numFmtId="0" fontId="15" fillId="0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/>
    </xf>
    <xf numFmtId="0" fontId="16" fillId="5" borderId="7" xfId="2" applyFont="1" applyFill="1" applyBorder="1" applyAlignment="1">
      <alignment horizontal="center" vertical="center"/>
    </xf>
    <xf numFmtId="3" fontId="15" fillId="5" borderId="7" xfId="2" applyNumberFormat="1" applyFont="1" applyFill="1" applyBorder="1" applyAlignment="1">
      <alignment horizontal="center" vertical="center"/>
    </xf>
    <xf numFmtId="3" fontId="28" fillId="5" borderId="9" xfId="2" applyNumberFormat="1" applyFont="1" applyFill="1" applyBorder="1" applyAlignment="1">
      <alignment horizontal="center" vertical="center"/>
    </xf>
    <xf numFmtId="3" fontId="19" fillId="5" borderId="9" xfId="2" applyNumberFormat="1" applyFont="1" applyFill="1" applyBorder="1" applyAlignment="1">
      <alignment horizontal="center" vertical="center"/>
    </xf>
    <xf numFmtId="0" fontId="1" fillId="0" borderId="0" xfId="24" applyFill="1"/>
    <xf numFmtId="0" fontId="1" fillId="0" borderId="0" xfId="24" applyFill="1" applyAlignment="1">
      <alignment horizontal="center"/>
    </xf>
    <xf numFmtId="0" fontId="22" fillId="0" borderId="0" xfId="24" applyFont="1" applyFill="1" applyAlignment="1">
      <alignment vertical="top" wrapText="1"/>
    </xf>
    <xf numFmtId="0" fontId="22" fillId="0" borderId="0" xfId="24" applyFont="1" applyFill="1" applyAlignment="1">
      <alignment vertical="top"/>
    </xf>
    <xf numFmtId="169" fontId="22" fillId="0" borderId="0" xfId="24" applyNumberFormat="1" applyFont="1" applyFill="1" applyAlignment="1">
      <alignment vertical="top" wrapText="1"/>
    </xf>
    <xf numFmtId="3" fontId="49" fillId="0" borderId="34" xfId="24" applyNumberFormat="1" applyFont="1" applyFill="1" applyBorder="1" applyAlignment="1">
      <alignment vertical="center"/>
    </xf>
    <xf numFmtId="3" fontId="49" fillId="0" borderId="33" xfId="24" applyNumberFormat="1" applyFont="1" applyFill="1" applyBorder="1" applyAlignment="1">
      <alignment vertical="center"/>
    </xf>
    <xf numFmtId="3" fontId="49" fillId="5" borderId="33" xfId="24" applyNumberFormat="1" applyFont="1" applyFill="1" applyBorder="1" applyAlignment="1">
      <alignment vertical="center"/>
    </xf>
    <xf numFmtId="3" fontId="49" fillId="0" borderId="32" xfId="24" applyNumberFormat="1" applyFont="1" applyFill="1" applyBorder="1" applyAlignment="1">
      <alignment vertical="center"/>
    </xf>
    <xf numFmtId="0" fontId="49" fillId="0" borderId="53" xfId="24" applyFont="1" applyFill="1" applyBorder="1" applyAlignment="1">
      <alignment horizontal="center" vertical="center"/>
    </xf>
    <xf numFmtId="0" fontId="1" fillId="0" borderId="28" xfId="24" applyFill="1" applyBorder="1" applyAlignment="1">
      <alignment horizontal="left" vertical="center" wrapText="1"/>
    </xf>
    <xf numFmtId="168" fontId="49" fillId="0" borderId="61" xfId="25" applyNumberFormat="1" applyFont="1" applyFill="1" applyBorder="1" applyAlignment="1">
      <alignment vertical="center"/>
    </xf>
    <xf numFmtId="168" fontId="49" fillId="0" borderId="52" xfId="25" applyNumberFormat="1" applyFont="1" applyFill="1" applyBorder="1" applyAlignment="1">
      <alignment vertical="center"/>
    </xf>
    <xf numFmtId="168" fontId="49" fillId="5" borderId="52" xfId="25" applyNumberFormat="1" applyFont="1" applyFill="1" applyBorder="1" applyAlignment="1">
      <alignment vertical="center"/>
    </xf>
    <xf numFmtId="168" fontId="49" fillId="0" borderId="51" xfId="25" applyNumberFormat="1" applyFont="1" applyFill="1" applyBorder="1" applyAlignment="1">
      <alignment vertical="center"/>
    </xf>
    <xf numFmtId="168" fontId="49" fillId="0" borderId="60" xfId="25" applyNumberFormat="1" applyFont="1" applyFill="1" applyBorder="1" applyAlignment="1">
      <alignment vertical="center"/>
    </xf>
    <xf numFmtId="0" fontId="49" fillId="0" borderId="50" xfId="24" applyFont="1" applyFill="1" applyBorder="1" applyAlignment="1">
      <alignment horizontal="center" vertical="center"/>
    </xf>
    <xf numFmtId="0" fontId="1" fillId="0" borderId="49" xfId="24" applyFill="1" applyBorder="1" applyAlignment="1">
      <alignment horizontal="left" vertical="center" wrapText="1"/>
    </xf>
    <xf numFmtId="9" fontId="49" fillId="0" borderId="57" xfId="25" applyFont="1" applyFill="1" applyBorder="1" applyAlignment="1">
      <alignment vertical="center"/>
    </xf>
    <xf numFmtId="9" fontId="49" fillId="0" borderId="7" xfId="25" applyFont="1" applyFill="1" applyBorder="1" applyAlignment="1">
      <alignment vertical="center"/>
    </xf>
    <xf numFmtId="9" fontId="49" fillId="5" borderId="7" xfId="25" applyFont="1" applyFill="1" applyBorder="1" applyAlignment="1">
      <alignment vertical="center"/>
    </xf>
    <xf numFmtId="9" fontId="49" fillId="0" borderId="40" xfId="25" applyFont="1" applyFill="1" applyBorder="1" applyAlignment="1">
      <alignment vertical="center"/>
    </xf>
    <xf numFmtId="9" fontId="49" fillId="0" borderId="22" xfId="25" applyFont="1" applyFill="1" applyBorder="1" applyAlignment="1">
      <alignment vertical="center"/>
    </xf>
    <xf numFmtId="0" fontId="49" fillId="0" borderId="39" xfId="24" applyFont="1" applyFill="1" applyBorder="1" applyAlignment="1">
      <alignment horizontal="center" vertical="center"/>
    </xf>
    <xf numFmtId="0" fontId="1" fillId="0" borderId="38" xfId="24" applyFont="1" applyFill="1" applyBorder="1" applyAlignment="1">
      <alignment horizontal="left" vertical="center" wrapText="1"/>
    </xf>
    <xf numFmtId="3" fontId="49" fillId="0" borderId="57" xfId="24" applyNumberFormat="1" applyFont="1" applyFill="1" applyBorder="1" applyAlignment="1">
      <alignment vertical="center"/>
    </xf>
    <xf numFmtId="3" fontId="49" fillId="0" borderId="7" xfId="24" applyNumberFormat="1" applyFont="1" applyFill="1" applyBorder="1" applyAlignment="1">
      <alignment vertical="center"/>
    </xf>
    <xf numFmtId="3" fontId="49" fillId="5" borderId="7" xfId="24" applyNumberFormat="1" applyFont="1" applyFill="1" applyBorder="1" applyAlignment="1">
      <alignment vertical="center"/>
    </xf>
    <xf numFmtId="3" fontId="49" fillId="0" borderId="40" xfId="24" applyNumberFormat="1" applyFont="1" applyFill="1" applyBorder="1" applyAlignment="1">
      <alignment vertical="center"/>
    </xf>
    <xf numFmtId="3" fontId="49" fillId="0" borderId="22" xfId="24" applyNumberFormat="1" applyFont="1" applyFill="1" applyBorder="1" applyAlignment="1">
      <alignment vertical="center"/>
    </xf>
    <xf numFmtId="0" fontId="1" fillId="0" borderId="38" xfId="24" applyFill="1" applyBorder="1" applyAlignment="1">
      <alignment horizontal="left" vertical="center" wrapText="1"/>
    </xf>
    <xf numFmtId="0" fontId="49" fillId="0" borderId="0" xfId="24" applyFont="1" applyFill="1"/>
    <xf numFmtId="170" fontId="49" fillId="0" borderId="57" xfId="24" applyNumberFormat="1" applyFont="1" applyFill="1" applyBorder="1" applyAlignment="1">
      <alignment horizontal="center" vertical="center"/>
    </xf>
    <xf numFmtId="170" fontId="49" fillId="0" borderId="7" xfId="24" applyNumberFormat="1" applyFont="1" applyFill="1" applyBorder="1" applyAlignment="1">
      <alignment horizontal="center" vertical="center"/>
    </xf>
    <xf numFmtId="170" fontId="49" fillId="0" borderId="23" xfId="25" applyNumberFormat="1" applyFont="1" applyFill="1" applyBorder="1" applyAlignment="1">
      <alignment horizontal="center" vertical="center"/>
    </xf>
    <xf numFmtId="170" fontId="49" fillId="5" borderId="23" xfId="25" applyNumberFormat="1" applyFont="1" applyFill="1" applyBorder="1" applyAlignment="1">
      <alignment horizontal="center" vertical="center"/>
    </xf>
    <xf numFmtId="170" fontId="49" fillId="0" borderId="23" xfId="25" applyNumberFormat="1" applyFont="1" applyFill="1" applyBorder="1" applyAlignment="1">
      <alignment vertical="center"/>
    </xf>
    <xf numFmtId="170" fontId="49" fillId="5" borderId="23" xfId="25" applyNumberFormat="1" applyFont="1" applyFill="1" applyBorder="1" applyAlignment="1">
      <alignment vertical="center"/>
    </xf>
    <xf numFmtId="170" fontId="49" fillId="0" borderId="22" xfId="24" applyNumberFormat="1" applyFont="1" applyFill="1" applyBorder="1" applyAlignment="1">
      <alignment vertical="center"/>
    </xf>
    <xf numFmtId="170" fontId="49" fillId="0" borderId="7" xfId="24" applyNumberFormat="1" applyFont="1" applyFill="1" applyBorder="1" applyAlignment="1">
      <alignment vertical="center"/>
    </xf>
    <xf numFmtId="0" fontId="49" fillId="0" borderId="46" xfId="24" applyFont="1" applyFill="1" applyBorder="1" applyAlignment="1">
      <alignment horizontal="center" vertical="center"/>
    </xf>
    <xf numFmtId="0" fontId="49" fillId="0" borderId="48" xfId="24" applyFont="1" applyFill="1" applyBorder="1" applyAlignment="1">
      <alignment horizontal="left" vertical="center" wrapText="1"/>
    </xf>
    <xf numFmtId="169" fontId="50" fillId="0" borderId="7" xfId="24" applyNumberFormat="1" applyFont="1" applyFill="1" applyBorder="1" applyAlignment="1">
      <alignment vertical="center"/>
    </xf>
    <xf numFmtId="169" fontId="50" fillId="0" borderId="23" xfId="25" applyNumberFormat="1" applyFont="1" applyFill="1" applyBorder="1" applyAlignment="1">
      <alignment vertical="center"/>
    </xf>
    <xf numFmtId="169" fontId="50" fillId="5" borderId="23" xfId="25" applyNumberFormat="1" applyFont="1" applyFill="1" applyBorder="1" applyAlignment="1">
      <alignment vertical="center"/>
    </xf>
    <xf numFmtId="169" fontId="50" fillId="0" borderId="47" xfId="25" applyNumberFormat="1" applyFont="1" applyFill="1" applyBorder="1" applyAlignment="1">
      <alignment vertical="center"/>
    </xf>
    <xf numFmtId="169" fontId="50" fillId="0" borderId="57" xfId="24" applyNumberFormat="1" applyFont="1" applyFill="1" applyBorder="1" applyAlignment="1">
      <alignment vertical="center"/>
    </xf>
    <xf numFmtId="169" fontId="50" fillId="0" borderId="22" xfId="24" applyNumberFormat="1" applyFont="1" applyFill="1" applyBorder="1" applyAlignment="1">
      <alignment vertical="center"/>
    </xf>
    <xf numFmtId="0" fontId="15" fillId="0" borderId="46" xfId="24" applyFont="1" applyFill="1" applyBorder="1" applyAlignment="1">
      <alignment horizontal="center" vertical="center"/>
    </xf>
    <xf numFmtId="0" fontId="49" fillId="0" borderId="38" xfId="24" applyFont="1" applyFill="1" applyBorder="1" applyAlignment="1">
      <alignment horizontal="left" vertical="center" wrapText="1"/>
    </xf>
    <xf numFmtId="3" fontId="49" fillId="0" borderId="59" xfId="24" applyNumberFormat="1" applyFont="1" applyFill="1" applyBorder="1" applyAlignment="1">
      <alignment vertical="center"/>
    </xf>
    <xf numFmtId="3" fontId="49" fillId="0" borderId="45" xfId="24" applyNumberFormat="1" applyFont="1" applyFill="1" applyBorder="1" applyAlignment="1">
      <alignment vertical="center"/>
    </xf>
    <xf numFmtId="3" fontId="49" fillId="5" borderId="45" xfId="24" applyNumberFormat="1" applyFont="1" applyFill="1" applyBorder="1" applyAlignment="1">
      <alignment vertical="center"/>
    </xf>
    <xf numFmtId="3" fontId="49" fillId="0" borderId="44" xfId="24" applyNumberFormat="1" applyFont="1" applyFill="1" applyBorder="1" applyAlignment="1">
      <alignment vertical="center"/>
    </xf>
    <xf numFmtId="0" fontId="49" fillId="0" borderId="43" xfId="24" applyFont="1" applyFill="1" applyBorder="1" applyAlignment="1">
      <alignment horizontal="center" vertical="center"/>
    </xf>
    <xf numFmtId="0" fontId="1" fillId="0" borderId="26" xfId="24" applyFill="1" applyBorder="1" applyAlignment="1">
      <alignment horizontal="left" vertical="center" wrapText="1"/>
    </xf>
    <xf numFmtId="4" fontId="49" fillId="0" borderId="0" xfId="24" applyNumberFormat="1" applyFont="1" applyFill="1" applyBorder="1" applyAlignment="1">
      <alignment vertical="center"/>
    </xf>
    <xf numFmtId="0" fontId="49" fillId="0" borderId="0" xfId="24" applyFont="1" applyFill="1" applyBorder="1" applyAlignment="1">
      <alignment horizontal="center" vertical="center"/>
    </xf>
    <xf numFmtId="0" fontId="1" fillId="0" borderId="0" xfId="24" applyFill="1" applyBorder="1"/>
    <xf numFmtId="2" fontId="49" fillId="0" borderId="0" xfId="24" applyNumberFormat="1" applyFont="1" applyFill="1"/>
    <xf numFmtId="0" fontId="49" fillId="0" borderId="0" xfId="24" applyFont="1" applyFill="1" applyAlignment="1">
      <alignment horizontal="center"/>
    </xf>
    <xf numFmtId="0" fontId="22" fillId="0" borderId="0" xfId="24" applyFont="1" applyFill="1"/>
    <xf numFmtId="9" fontId="49" fillId="0" borderId="58" xfId="25" applyNumberFormat="1" applyFont="1" applyFill="1" applyBorder="1"/>
    <xf numFmtId="9" fontId="49" fillId="0" borderId="9" xfId="25" applyNumberFormat="1" applyFont="1" applyFill="1" applyBorder="1"/>
    <xf numFmtId="9" fontId="49" fillId="5" borderId="9" xfId="25" applyNumberFormat="1" applyFont="1" applyFill="1" applyBorder="1"/>
    <xf numFmtId="9" fontId="49" fillId="0" borderId="42" xfId="25" applyNumberFormat="1" applyFont="1" applyFill="1" applyBorder="1"/>
    <xf numFmtId="0" fontId="49" fillId="0" borderId="41" xfId="24" applyFont="1" applyFill="1" applyBorder="1" applyAlignment="1">
      <alignment horizontal="center"/>
    </xf>
    <xf numFmtId="0" fontId="1" fillId="0" borderId="30" xfId="24" applyFont="1" applyFill="1" applyBorder="1" applyAlignment="1">
      <alignment horizontal="right"/>
    </xf>
    <xf numFmtId="165" fontId="48" fillId="0" borderId="57" xfId="24" applyNumberFormat="1" applyFont="1" applyFill="1" applyBorder="1"/>
    <xf numFmtId="165" fontId="48" fillId="0" borderId="7" xfId="24" applyNumberFormat="1" applyFont="1" applyFill="1" applyBorder="1"/>
    <xf numFmtId="165" fontId="48" fillId="5" borderId="7" xfId="24" applyNumberFormat="1" applyFont="1" applyFill="1" applyBorder="1"/>
    <xf numFmtId="165" fontId="48" fillId="0" borderId="40" xfId="24" applyNumberFormat="1" applyFont="1" applyFill="1" applyBorder="1"/>
    <xf numFmtId="0" fontId="48" fillId="0" borderId="39" xfId="24" applyFont="1" applyFill="1" applyBorder="1" applyAlignment="1">
      <alignment horizontal="center"/>
    </xf>
    <xf numFmtId="0" fontId="48" fillId="0" borderId="38" xfId="24" applyFont="1" applyFill="1" applyBorder="1" applyAlignment="1">
      <alignment horizontal="left"/>
    </xf>
    <xf numFmtId="43" fontId="51" fillId="0" borderId="0" xfId="24" applyNumberFormat="1" applyFont="1" applyFill="1"/>
    <xf numFmtId="3" fontId="49" fillId="0" borderId="57" xfId="24" applyNumberFormat="1" applyFont="1" applyFill="1" applyBorder="1" applyAlignment="1">
      <alignment horizontal="right"/>
    </xf>
    <xf numFmtId="3" fontId="49" fillId="0" borderId="7" xfId="24" applyNumberFormat="1" applyFont="1" applyFill="1" applyBorder="1" applyAlignment="1">
      <alignment horizontal="right"/>
    </xf>
    <xf numFmtId="3" fontId="49" fillId="5" borderId="7" xfId="24" applyNumberFormat="1" applyFont="1" applyFill="1" applyBorder="1" applyAlignment="1">
      <alignment horizontal="right"/>
    </xf>
    <xf numFmtId="3" fontId="49" fillId="0" borderId="22" xfId="24" applyNumberFormat="1" applyFont="1" applyFill="1" applyBorder="1" applyAlignment="1">
      <alignment horizontal="right"/>
    </xf>
    <xf numFmtId="3" fontId="49" fillId="0" borderId="40" xfId="24" applyNumberFormat="1" applyFont="1" applyFill="1" applyBorder="1" applyAlignment="1">
      <alignment horizontal="right"/>
    </xf>
    <xf numFmtId="0" fontId="49" fillId="0" borderId="39" xfId="24" applyFont="1" applyFill="1" applyBorder="1" applyAlignment="1">
      <alignment horizontal="center"/>
    </xf>
    <xf numFmtId="0" fontId="49" fillId="0" borderId="38" xfId="24" applyFont="1" applyFill="1" applyBorder="1" applyAlignment="1">
      <alignment horizontal="left"/>
    </xf>
    <xf numFmtId="43" fontId="51" fillId="0" borderId="0" xfId="26" applyFont="1" applyFill="1"/>
    <xf numFmtId="3" fontId="35" fillId="0" borderId="57" xfId="24" applyNumberFormat="1" applyFont="1" applyFill="1" applyBorder="1"/>
    <xf numFmtId="3" fontId="35" fillId="0" borderId="7" xfId="24" applyNumberFormat="1" applyFont="1" applyFill="1" applyBorder="1"/>
    <xf numFmtId="3" fontId="35" fillId="5" borderId="7" xfId="24" applyNumberFormat="1" applyFont="1" applyFill="1" applyBorder="1"/>
    <xf numFmtId="3" fontId="35" fillId="0" borderId="40" xfId="24" applyNumberFormat="1" applyFont="1" applyFill="1" applyBorder="1"/>
    <xf numFmtId="0" fontId="35" fillId="0" borderId="39" xfId="24" applyFont="1" applyFill="1" applyBorder="1" applyAlignment="1">
      <alignment horizontal="center"/>
    </xf>
    <xf numFmtId="0" fontId="35" fillId="0" borderId="38" xfId="24" applyFont="1" applyFill="1" applyBorder="1" applyAlignment="1">
      <alignment horizontal="left"/>
    </xf>
    <xf numFmtId="3" fontId="48" fillId="0" borderId="57" xfId="24" applyNumberFormat="1" applyFont="1" applyFill="1" applyBorder="1" applyAlignment="1">
      <alignment horizontal="right"/>
    </xf>
    <xf numFmtId="3" fontId="48" fillId="0" borderId="7" xfId="24" applyNumberFormat="1" applyFont="1" applyFill="1" applyBorder="1" applyAlignment="1">
      <alignment horizontal="right"/>
    </xf>
    <xf numFmtId="3" fontId="48" fillId="5" borderId="7" xfId="24" applyNumberFormat="1" applyFont="1" applyFill="1" applyBorder="1" applyAlignment="1">
      <alignment horizontal="right"/>
    </xf>
    <xf numFmtId="3" fontId="48" fillId="0" borderId="40" xfId="24" applyNumberFormat="1" applyFont="1" applyFill="1" applyBorder="1" applyAlignment="1">
      <alignment horizontal="right"/>
    </xf>
    <xf numFmtId="0" fontId="49" fillId="0" borderId="38" xfId="24" applyFont="1" applyFill="1" applyBorder="1" applyAlignment="1">
      <alignment horizontal="left" indent="2"/>
    </xf>
    <xf numFmtId="3" fontId="48" fillId="0" borderId="57" xfId="24" applyNumberFormat="1" applyFont="1" applyFill="1" applyBorder="1"/>
    <xf numFmtId="3" fontId="48" fillId="0" borderId="7" xfId="24" applyNumberFormat="1" applyFont="1" applyFill="1" applyBorder="1"/>
    <xf numFmtId="3" fontId="48" fillId="5" borderId="7" xfId="24" applyNumberFormat="1" applyFont="1" applyFill="1" applyBorder="1"/>
    <xf numFmtId="3" fontId="48" fillId="0" borderId="40" xfId="24" applyNumberFormat="1" applyFont="1" applyFill="1" applyBorder="1"/>
    <xf numFmtId="0" fontId="48" fillId="0" borderId="38" xfId="24" applyFont="1" applyFill="1" applyBorder="1"/>
    <xf numFmtId="3" fontId="48" fillId="0" borderId="56" xfId="24" applyNumberFormat="1" applyFont="1" applyFill="1" applyBorder="1" applyAlignment="1">
      <alignment horizontal="right"/>
    </xf>
    <xf numFmtId="3" fontId="48" fillId="0" borderId="24" xfId="24" applyNumberFormat="1" applyFont="1" applyFill="1" applyBorder="1" applyAlignment="1">
      <alignment horizontal="right"/>
    </xf>
    <xf numFmtId="3" fontId="48" fillId="5" borderId="24" xfId="24" applyNumberFormat="1" applyFont="1" applyFill="1" applyBorder="1" applyAlignment="1">
      <alignment horizontal="right"/>
    </xf>
    <xf numFmtId="3" fontId="48" fillId="0" borderId="37" xfId="24" applyNumberFormat="1" applyFont="1" applyFill="1" applyBorder="1" applyAlignment="1">
      <alignment horizontal="right"/>
    </xf>
    <xf numFmtId="0" fontId="48" fillId="0" borderId="36" xfId="24" applyFont="1" applyFill="1" applyBorder="1" applyAlignment="1">
      <alignment horizontal="center"/>
    </xf>
    <xf numFmtId="0" fontId="42" fillId="0" borderId="35" xfId="24" applyFont="1" applyFill="1" applyBorder="1"/>
    <xf numFmtId="0" fontId="1" fillId="0" borderId="34" xfId="24" applyFill="1" applyBorder="1" applyAlignment="1">
      <alignment horizontal="center" vertical="center" wrapText="1"/>
    </xf>
    <xf numFmtId="0" fontId="1" fillId="0" borderId="33" xfId="24" applyFill="1" applyBorder="1" applyAlignment="1">
      <alignment horizontal="center" vertical="center" wrapText="1"/>
    </xf>
    <xf numFmtId="0" fontId="1" fillId="5" borderId="33" xfId="24" applyFill="1" applyBorder="1" applyAlignment="1">
      <alignment horizontal="center" vertical="center" wrapText="1"/>
    </xf>
    <xf numFmtId="0" fontId="1" fillId="0" borderId="32" xfId="24" applyFill="1" applyBorder="1" applyAlignment="1">
      <alignment horizontal="center" vertical="center" wrapText="1"/>
    </xf>
    <xf numFmtId="0" fontId="47" fillId="0" borderId="0" xfId="24" applyFont="1" applyFill="1"/>
    <xf numFmtId="0" fontId="46" fillId="0" borderId="0" xfId="24" applyFont="1" applyFill="1" applyBorder="1" applyAlignment="1">
      <alignment horizontal="center"/>
    </xf>
    <xf numFmtId="0" fontId="46" fillId="0" borderId="0" xfId="24" applyFont="1" applyFill="1" applyBorder="1" applyAlignment="1">
      <alignment wrapText="1"/>
    </xf>
    <xf numFmtId="0" fontId="46" fillId="0" borderId="0" xfId="24" applyFont="1" applyFill="1" applyBorder="1" applyAlignment="1"/>
    <xf numFmtId="0" fontId="16" fillId="0" borderId="0" xfId="0" applyFont="1"/>
    <xf numFmtId="0" fontId="15" fillId="0" borderId="0" xfId="0" applyFont="1" applyFill="1" applyBorder="1" applyAlignment="1">
      <alignment horizontal="justify" wrapText="1"/>
    </xf>
    <xf numFmtId="0" fontId="18" fillId="0" borderId="8" xfId="0" applyFont="1" applyFill="1" applyBorder="1" applyAlignment="1">
      <alignment horizontal="left" vertical="center" wrapText="1" readingOrder="1"/>
    </xf>
    <xf numFmtId="3" fontId="15" fillId="0" borderId="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 readingOrder="1"/>
    </xf>
    <xf numFmtId="0" fontId="18" fillId="3" borderId="0" xfId="0" applyFont="1" applyFill="1" applyBorder="1" applyAlignment="1">
      <alignment horizontal="left" vertical="center" wrapText="1" readingOrder="1"/>
    </xf>
    <xf numFmtId="0" fontId="16" fillId="0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7" fillId="0" borderId="7" xfId="0" applyFont="1" applyFill="1" applyBorder="1" applyAlignment="1">
      <alignment horizontal="center" vertical="center" wrapText="1" readingOrder="1"/>
    </xf>
    <xf numFmtId="0" fontId="17" fillId="0" borderId="22" xfId="0" applyFont="1" applyFill="1" applyBorder="1" applyAlignment="1">
      <alignment horizontal="center" vertical="center" wrapText="1" readingOrder="1"/>
    </xf>
    <xf numFmtId="2" fontId="18" fillId="0" borderId="55" xfId="0" applyNumberFormat="1" applyFont="1" applyFill="1" applyBorder="1" applyAlignment="1">
      <alignment horizontal="center" vertical="center" wrapText="1" readingOrder="1"/>
    </xf>
    <xf numFmtId="2" fontId="18" fillId="0" borderId="8" xfId="0" applyNumberFormat="1" applyFont="1" applyFill="1" applyBorder="1" applyAlignment="1">
      <alignment horizontal="center" vertical="center" wrapText="1" readingOrder="1"/>
    </xf>
    <xf numFmtId="2" fontId="0" fillId="0" borderId="8" xfId="0" applyNumberFormat="1" applyBorder="1" applyAlignment="1">
      <alignment readingOrder="1"/>
    </xf>
    <xf numFmtId="0" fontId="18" fillId="0" borderId="22" xfId="0" applyFont="1" applyFill="1" applyBorder="1" applyAlignment="1">
      <alignment horizontal="center" vertical="center" wrapText="1" readingOrder="1"/>
    </xf>
    <xf numFmtId="0" fontId="18" fillId="0" borderId="21" xfId="0" applyFont="1" applyFill="1" applyBorder="1" applyAlignment="1">
      <alignment horizontal="center" vertical="center" wrapText="1" readingOrder="1"/>
    </xf>
    <xf numFmtId="0" fontId="0" fillId="0" borderId="11" xfId="0" applyBorder="1" applyAlignment="1"/>
    <xf numFmtId="0" fontId="35" fillId="0" borderId="0" xfId="0" applyFont="1" applyFill="1" applyBorder="1" applyAlignment="1">
      <alignment horizontal="center" wrapText="1"/>
    </xf>
    <xf numFmtId="170" fontId="49" fillId="0" borderId="47" xfId="25" applyNumberFormat="1" applyFont="1" applyFill="1" applyBorder="1" applyAlignment="1">
      <alignment horizontal="center" vertical="center"/>
    </xf>
    <xf numFmtId="170" fontId="49" fillId="0" borderId="37" xfId="25" applyNumberFormat="1" applyFont="1" applyFill="1" applyBorder="1" applyAlignment="1">
      <alignment horizontal="center" vertical="center"/>
    </xf>
    <xf numFmtId="170" fontId="49" fillId="0" borderId="23" xfId="25" applyNumberFormat="1" applyFont="1" applyFill="1" applyBorder="1" applyAlignment="1">
      <alignment horizontal="center" vertical="center"/>
    </xf>
    <xf numFmtId="170" fontId="49" fillId="0" borderId="24" xfId="25" applyNumberFormat="1" applyFont="1" applyFill="1" applyBorder="1" applyAlignment="1">
      <alignment horizontal="center" vertical="center"/>
    </xf>
    <xf numFmtId="0" fontId="1" fillId="0" borderId="26" xfId="24" applyFill="1" applyBorder="1" applyAlignment="1">
      <alignment horizontal="center" vertical="center"/>
    </xf>
    <xf numFmtId="0" fontId="1" fillId="0" borderId="30" xfId="24" applyFill="1" applyBorder="1" applyAlignment="1">
      <alignment horizontal="center" vertical="center"/>
    </xf>
    <xf numFmtId="0" fontId="1" fillId="0" borderId="27" xfId="24" applyFill="1" applyBorder="1" applyAlignment="1">
      <alignment horizontal="center" vertical="center"/>
    </xf>
    <xf numFmtId="0" fontId="1" fillId="0" borderId="31" xfId="24" applyFill="1" applyBorder="1" applyAlignment="1">
      <alignment horizontal="center" vertical="center"/>
    </xf>
    <xf numFmtId="0" fontId="1" fillId="0" borderId="28" xfId="24" applyFont="1" applyFill="1" applyBorder="1" applyAlignment="1">
      <alignment horizontal="center"/>
    </xf>
    <xf numFmtId="0" fontId="1" fillId="0" borderId="3" xfId="24" applyFont="1" applyFill="1" applyBorder="1" applyAlignment="1">
      <alignment horizontal="center"/>
    </xf>
    <xf numFmtId="0" fontId="1" fillId="0" borderId="29" xfId="24" applyFont="1" applyFill="1" applyBorder="1" applyAlignment="1">
      <alignment horizontal="center"/>
    </xf>
  </cellXfs>
  <cellStyles count="27">
    <cellStyle name="Normal_DATABOOK_08_Rus" xfId="5"/>
    <cellStyle name="Гиперссылка" xfId="1" builtinId="8"/>
    <cellStyle name="Обычный" xfId="0" builtinId="0"/>
    <cellStyle name="Обычный 10" xfId="18"/>
    <cellStyle name="Обычный 12" xfId="16"/>
    <cellStyle name="Обычный 2" xfId="2"/>
    <cellStyle name="Обычный 2 2" xfId="12"/>
    <cellStyle name="Обычный 2 4 5" xfId="20"/>
    <cellStyle name="Обычный 3" xfId="7"/>
    <cellStyle name="Обычный 3 2" xfId="13"/>
    <cellStyle name="Обычный 3 3" xfId="22"/>
    <cellStyle name="Обычный 4" xfId="9"/>
    <cellStyle name="Обычный 5" xfId="10"/>
    <cellStyle name="Обычный 5 2" xfId="14"/>
    <cellStyle name="Обычный 5 3" xfId="21"/>
    <cellStyle name="Обычный 5 3 2" xfId="24"/>
    <cellStyle name="Обычный_капитализация Ленэнерго на ММВБ" xfId="6"/>
    <cellStyle name="Процентный" xfId="3" builtinId="5"/>
    <cellStyle name="Процентный 2" xfId="8"/>
    <cellStyle name="Процентный 2 2" xfId="17"/>
    <cellStyle name="Процентный 3" xfId="11"/>
    <cellStyle name="Процентный 3 2" xfId="15"/>
    <cellStyle name="Процентный 3 3" xfId="23"/>
    <cellStyle name="Процентный 3 3 2" xfId="25"/>
    <cellStyle name="Финансовый" xfId="4" builtinId="3"/>
    <cellStyle name="Финансовый 2" xfId="26"/>
    <cellStyle name="Финансовый 6" xfId="19"/>
  </cellStyles>
  <dxfs count="0"/>
  <tableStyles count="0" defaultTableStyle="TableStyleMedium9" defaultPivotStyle="PivotStyleLight16"/>
  <colors>
    <mruColors>
      <color rgb="FFFFCCFF"/>
      <color rgb="FFFFFFCC"/>
      <color rgb="FFFF00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21429674231835E-3"/>
          <c:y val="1.3851519625094306E-2"/>
          <c:w val="0.65420091938223091"/>
          <c:h val="0.92306247941020714"/>
        </c:manualLayout>
      </c:layout>
      <c:doughnutChart>
        <c:varyColors val="1"/>
        <c:ser>
          <c:idx val="0"/>
          <c:order val="0"/>
          <c:dLbls>
            <c:dLbl>
              <c:idx val="2"/>
              <c:layout>
                <c:manualLayout>
                  <c:x val="0"/>
                  <c:y val="1.7706947509078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21325813485056E-2"/>
                  <c:y val="-6.020362153086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3529411764706107E-3"/>
                  <c:y val="-2.1419006360489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4705882352941176E-2"/>
                  <c:y val="-2.85586751473189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'[1]Реестр на 06.07.2016'!$A$5:$A$8</c:f>
              <c:strCache>
                <c:ptCount val="4"/>
                <c:pt idx="0">
                  <c:v>ПАО "Россети"</c:v>
                </c:pt>
                <c:pt idx="1">
                  <c:v>г. Санкт-Петербург в лице КИО</c:v>
                </c:pt>
                <c:pt idx="2">
                  <c:v>ОАО «МРСК Урала»</c:v>
                </c:pt>
                <c:pt idx="3">
                  <c:v>Прочие</c:v>
                </c:pt>
              </c:strCache>
            </c:strRef>
          </c:cat>
          <c:val>
            <c:numRef>
              <c:f>'[1]Реестр на 06.07.2016'!$B$5:$B$8</c:f>
              <c:numCache>
                <c:formatCode>General</c:formatCode>
                <c:ptCount val="4"/>
                <c:pt idx="0">
                  <c:v>67.48</c:v>
                </c:pt>
                <c:pt idx="1">
                  <c:v>28.8</c:v>
                </c:pt>
                <c:pt idx="2">
                  <c:v>1.21</c:v>
                </c:pt>
                <c:pt idx="3">
                  <c:v>2.5099999999999998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612321</xdr:colOff>
      <xdr:row>13</xdr:row>
      <xdr:rowOff>149677</xdr:rowOff>
    </xdr:from>
    <xdr:to>
      <xdr:col>4</xdr:col>
      <xdr:colOff>504824</xdr:colOff>
      <xdr:row>35</xdr:row>
      <xdr:rowOff>143555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KU\Investor%20Relations\DATA%20BASE\&#1053;&#1072;%20&#1089;&#1072;&#1081;&#1090;%20&#1072;&#1082;&#1090;&#1091;&#1072;&#1083;&#1100;&#1085;&#1099;&#1077;%20&#1076;&#1086;&#1083;&#1080;%20&#1072;&#1082;&#1094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4%20&#1075;%20&#1076;&#1083;&#1103;%20&#1090;&#1072;&#1088;&#1080;&#1092;&#1072;\&#1085;&#1072;&#1076;&#1077;&#1078;&#1085;&#1086;&#1089;&#1090;&#1100;%20&#1080;%20&#1082;&#1072;&#1095;&#1077;&#1089;&#1090;&#1074;&#1086;\&#1060;&#1072;&#1082;&#1090;%202013&#1075;\&#1060;&#1072;&#1082;&#1090;_2013_(&#1076;&#1083;&#1103;_&#1087;&#1077;&#1088;&#1080;&#1086;&#1076;&#1086;&#1074;_&#1088;&#1077;&#1075;&#1091;&#1083;&#1080;&#1088;&#1086;&#1074;&#1072;&#1085;&#1080;&#1103;_&#1089;_&#1087;&#1072;&#1088;&#1072;&#1084;&#1077;&#1090;&#1088;&#1072;&#1084;&#1080;_&#1076;&#1086;_2014)%20&#1089;%20&#1091;&#1095;.&#1082;&#1086;&#1088;&#1088;.%20&#1085;&#1072;&#1076;%20&#1080;%20&#1082;&#1072;&#109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5\&#1052;&#1086;&#1076;&#1077;&#1083;&#1080;%20&#1087;&#1086;%20&#1079;&#1072;&#1087;&#1088;&#1086;&#1089;&#1072;&#1084;\&#1052;&#1086;&#1076;&#1077;&#1083;&#1100;%20&#8470;28&#1041;\&#1058;&#1072;&#1088;&#1080;&#1092;&#1085;&#1099;&#1077;%20&#1084;&#1086;&#1076;&#1077;&#1083;&#1080;\&#1052;&#1086;&#1076;&#1077;&#1083;&#1100;%20&#1051;&#1054;%20&#8470;28&#10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3%20&#1075;%20&#1076;&#1083;&#1103;%20&#1090;&#1072;&#1088;&#1080;&#1092;&#1072;\&#1087;&#1086;&#1079;&#1080;&#1094;&#1080;&#1103;%20&#1088;&#1077;&#1075;&#1091;&#1083;&#1103;&#1090;&#1086;&#1088;&#1072;\&#1059;&#1090;&#1074;%20&#1090;&#1072;&#1088;&#1080;&#1092;&#1085;&#1099;&#1077;%20&#1084;&#1086;&#1076;&#1077;&#1083;&#1080;%202013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6&#1075;%20&#1076;&#1083;&#1103;%20&#1090;&#1072;&#1088;&#1080;&#1092;&#1072;\&#1087;&#1086;&#1079;&#1080;&#1094;&#1080;&#1103;%20&#1088;&#1077;&#1075;&#1091;&#1083;&#1103;&#1090;&#1086;&#1088;&#1072;\&#1059;&#1090;&#1074;%20&#1090;&#1072;&#1088;&#1080;&#1092;&#1085;&#1099;&#1077;%20&#1084;&#1086;&#1076;&#1077;&#1083;&#108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Eko\3.%20&#1054;&#1060;&#1055;\2017&#1075;%20&#1076;&#1083;&#1103;%20&#1090;&#1072;&#1088;&#1080;&#1092;&#1072;\&#1087;&#1086;&#1079;&#1080;&#1094;&#1080;&#1103;%20&#1088;&#1077;&#1075;&#1091;&#1083;&#1103;&#1090;&#1086;&#1088;&#1072;\&#1059;&#1090;&#1074;&#1077;&#1088;&#1078;&#1076;&#1077;&#1085;&#1085;&#1099;&#1077;%20&#1090;&#1072;&#1088;&#1080;&#1092;&#1085;&#1099;&#1077;%20&#1084;&#1086;&#1076;&#1077;&#1083;&#1080;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4%20&#1075;%20&#1076;&#1083;&#1103;%20&#1090;&#1072;&#1088;&#1080;&#1092;&#1072;\&#1087;&#1086;&#1079;&#1080;&#1094;&#1080;&#1103;%20&#1088;&#1077;&#1075;&#1091;&#1083;&#1103;&#1090;&#1086;&#1088;&#1072;\&#1059;&#1090;&#1074;%20&#1090;&#1072;&#1088;&#1080;&#1092;&#1085;&#1099;&#1077;%20&#1084;&#1086;&#1076;&#1077;&#1083;&#1080;%202014%20&#1075;.%20&#1087;&#1086;%20&#1055;&#1055;%2054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DOC\7.%20&#1047;&#1072;&#1082;&#1088;&#1099;&#1090;&#1099;&#1077;%20&#1075;&#1088;&#1091;&#1087;&#1087;&#1099;\&#1044;&#1069;\3.%20&#1054;&#1060;&#1055;\2011&#1075;%20&#1076;&#1083;&#1103;%20&#1090;&#1072;&#1088;&#1080;&#1092;&#1072;\&#1087;&#1086;&#1079;&#1080;&#1094;&#1080;&#1103;%20&#1088;&#1077;&#1075;&#1091;&#1083;&#1103;&#1090;&#1086;&#1088;&#1072;\&#1055;&#1072;&#1088;&#1072;&#1084;&#1077;&#1090;&#1088;&#1099;%20&#1088;&#1077;&#1075;&#1091;&#1083;&#1080;&#1088;&#1086;&#1074;&#1072;&#1085;&#1080;&#1103;%202011-2015%20&#1075;.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&#1055;&#1077;&#1088;&#1077;&#1093;&#1086;&#1076;%20&#1085;&#1072;%20RAB\&#1091;&#1095;&#1077;&#1090;%20&#1082;&#1072;&#1087;&#1080;&#1090;&#1072;&#1083;&#1072;\&#1059;&#1095;&#1077;&#1090;%20&#1048;&#1050;%20&#1092;&#1072;&#1082;&#1090;%20&#1089;%202011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Eko\&#1055;&#1077;&#1088;&#1077;&#1093;&#1086;&#1076;%20&#1085;&#1072;%20RAB\&#1091;&#1095;&#1077;&#1090;%20&#1082;&#1072;&#1087;&#1080;&#1090;&#1072;&#1083;&#1072;\&#1059;&#1095;&#1077;&#1090;%20&#1048;&#1050;%20&#1092;&#1072;&#1082;&#1090;%20&#1089;%202011%20&#1075;&#1086;&#1076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DepEko\3.%20&#1054;&#1060;&#1055;\2014%20&#1075;%20&#1076;&#1083;&#1103;%20&#1090;&#1072;&#1088;&#1080;&#1092;&#1072;\&#1087;&#1086;&#1079;&#1080;&#1094;&#1080;&#1103;%20&#1088;&#1077;&#1075;&#1091;&#1083;&#1103;&#1090;&#1086;&#1088;&#1072;\&#1059;&#1090;&#1074;%20&#1090;&#1072;&#1088;&#1080;&#1092;&#1085;&#1099;&#1077;%20&#1084;&#1086;&#1076;&#1077;&#1083;&#1080;%20201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 06.07.2016"/>
    </sheetNames>
    <sheetDataSet>
      <sheetData sheetId="0">
        <row r="5">
          <cell r="A5" t="str">
            <v>ПАО "Россети"</v>
          </cell>
          <cell r="B5">
            <v>67.48</v>
          </cell>
        </row>
        <row r="6">
          <cell r="A6" t="str">
            <v>г. Санкт-Петербург в лице КИО</v>
          </cell>
          <cell r="B6">
            <v>28.8</v>
          </cell>
        </row>
        <row r="7">
          <cell r="A7" t="str">
            <v>ОАО «МРСК Урала»</v>
          </cell>
          <cell r="B7">
            <v>1.21</v>
          </cell>
        </row>
        <row r="8">
          <cell r="A8" t="str">
            <v>Прочие</v>
          </cell>
          <cell r="B8">
            <v>2.5099999999999998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д 1.1 (2)"/>
      <sheetName val="над 1.2 (2)"/>
      <sheetName val="кач 6.1 (6) ЛО"/>
      <sheetName val="кач 6.2 (6) ЛО"/>
      <sheetName val="кач 6.3 (6) ЛО"/>
      <sheetName val="кач 6.4 (6) (план)"/>
      <sheetName val="кач 6.1 (6) СПб"/>
      <sheetName val="кач 6.2 (6) СПб"/>
      <sheetName val="кач 6.3 (6) СПб"/>
      <sheetName val="общ над и кач 7.1 (7)"/>
      <sheetName val="общ над и кач 7.2 (7)"/>
      <sheetName val="над и кач 1.4 (4) (план) ЛО"/>
      <sheetName val="над и кач 1.4 (4) (план) СПб"/>
      <sheetName val="план 10-19 надежность"/>
      <sheetName val="надежность план 2013"/>
      <sheetName val="для презентации"/>
      <sheetName val="Цвета"/>
      <sheetName val="график (old)"/>
      <sheetName val="над и кач 1.3 (план) ЛО"/>
      <sheetName val="над и кач 1.3 (план) СП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E11">
            <v>1.0102</v>
          </cell>
        </row>
      </sheetData>
      <sheetData sheetId="12">
        <row r="11">
          <cell r="E11">
            <v>1.0102</v>
          </cell>
        </row>
      </sheetData>
      <sheetData sheetId="13">
        <row r="7">
          <cell r="D7">
            <v>1.9947052999999999E-2</v>
          </cell>
          <cell r="E7">
            <v>1.9647847204999999E-2</v>
          </cell>
          <cell r="F7">
            <v>1.9353129496924998E-2</v>
          </cell>
          <cell r="G7">
            <v>1.9062832554471124E-2</v>
          </cell>
          <cell r="H7">
            <v>1.8776890066154055E-2</v>
          </cell>
          <cell r="I7">
            <v>1.8495236715161744E-2</v>
          </cell>
          <cell r="J7">
            <v>1.8217808164434319E-2</v>
          </cell>
          <cell r="K7">
            <v>1.7944541041967802E-2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modInstruction"/>
      <sheetName val="modList11"/>
      <sheetName val="УЕ"/>
      <sheetName val="свод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расчет котловых свой"/>
      <sheetName val="Тарифная модель 16-20"/>
      <sheetName val="баланс ээ свой"/>
      <sheetName val="баланс мощности свой"/>
      <sheetName val="5 баланс мощности"/>
      <sheetName val="6 баланс мощности"/>
      <sheetName val="Расчет ВН1"/>
      <sheetName val="НВВ РСК 2016 (I пол) МАКС"/>
      <sheetName val="НВВ РСК 2016 (II пол) МАКС"/>
      <sheetName val="НВВ РСК 2016 МАКС"/>
      <sheetName val="НВВ РСК 2016 (I пол) МИН"/>
      <sheetName val="НВВ РСК 2016 (II пол) МИН"/>
      <sheetName val="НВВ РСК 2016 МИН"/>
      <sheetName val="НВВ РСК последующие года"/>
      <sheetName val="население для модели"/>
      <sheetName val="Расчет тарифов (население)"/>
      <sheetName val="Лист2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корректировка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НВВ"/>
      <sheetName val="Расчет расх. по RAB (2011-2017)"/>
      <sheetName val="Расчет НВВ по RAB (2011-2017)"/>
      <sheetName val="Лист4"/>
      <sheetName val="Лист1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  <sheetName val="Лист3"/>
      <sheetName val="Лист5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17375.033166134872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K10">
            <v>0.03</v>
          </cell>
        </row>
        <row r="199">
          <cell r="G199">
            <v>0.10538863195709751</v>
          </cell>
          <cell r="H199">
            <v>0.10200249909870526</v>
          </cell>
          <cell r="I199">
            <v>9.6698814970413119E-2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б коррект."/>
      <sheetName val="итоги СПб коррект."/>
      <sheetName val="СПб"/>
      <sheetName val="итоги СПб"/>
      <sheetName val="СПб +факт 2011"/>
      <sheetName val="итоги СПб +факт 2011"/>
      <sheetName val="Итоги ЛО"/>
      <sheetName val="ЛО "/>
      <sheetName val="ЛО"/>
      <sheetName val="Лист1"/>
    </sheetNames>
    <sheetDataSet>
      <sheetData sheetId="0"/>
      <sheetData sheetId="1"/>
      <sheetData sheetId="2"/>
      <sheetData sheetId="3"/>
      <sheetData sheetId="4">
        <row r="10">
          <cell r="I10">
            <v>0.03</v>
          </cell>
        </row>
        <row r="41">
          <cell r="H41">
            <v>4529830.0116625503</v>
          </cell>
          <cell r="I41">
            <v>5017363.0142487967</v>
          </cell>
        </row>
        <row r="54">
          <cell r="I54">
            <v>1402966.0000000002</v>
          </cell>
        </row>
        <row r="55">
          <cell r="H55">
            <v>5709441.1316625504</v>
          </cell>
          <cell r="I55">
            <v>7281582.0389195383</v>
          </cell>
        </row>
        <row r="75">
          <cell r="H75">
            <v>2883268.4356653844</v>
          </cell>
          <cell r="I75">
            <v>3054010.18524177</v>
          </cell>
        </row>
        <row r="77">
          <cell r="H77">
            <v>3089704.3156989058</v>
          </cell>
          <cell r="I77">
            <v>3339426.0466842833</v>
          </cell>
        </row>
        <row r="78">
          <cell r="H78">
            <v>1494065.6941450657</v>
          </cell>
          <cell r="I78">
            <v>2289920.7835216308</v>
          </cell>
        </row>
        <row r="79">
          <cell r="H79">
            <v>-1369168.1771719055</v>
          </cell>
          <cell r="I79">
            <v>-1851881.2598138922</v>
          </cell>
        </row>
        <row r="188">
          <cell r="H188">
            <v>4529830.0116625503</v>
          </cell>
          <cell r="I188">
            <v>5017363.0142487967</v>
          </cell>
        </row>
        <row r="199">
          <cell r="H199">
            <v>3767595.0325016803</v>
          </cell>
          <cell r="I199">
            <v>5468078.3699999992</v>
          </cell>
        </row>
        <row r="206">
          <cell r="H206">
            <v>3850655.4434984019</v>
          </cell>
          <cell r="I206">
            <v>3561715.0347791244</v>
          </cell>
        </row>
        <row r="212">
          <cell r="H212">
            <v>371357.35135282</v>
          </cell>
          <cell r="I212">
            <v>291007.34999999998</v>
          </cell>
        </row>
      </sheetData>
      <sheetData sheetId="5"/>
      <sheetData sheetId="6"/>
      <sheetData sheetId="7">
        <row r="37">
          <cell r="H37">
            <v>2541166.4574251003</v>
          </cell>
          <cell r="I37">
            <v>2656822.1418450843</v>
          </cell>
        </row>
        <row r="42">
          <cell r="H42">
            <v>2236393.0554443295</v>
          </cell>
          <cell r="I42">
            <v>2381633.56525</v>
          </cell>
        </row>
        <row r="53">
          <cell r="I53">
            <v>176523.17</v>
          </cell>
        </row>
        <row r="54">
          <cell r="H54">
            <v>2751168.7563461042</v>
          </cell>
          <cell r="I54">
            <v>2987177.1541575557</v>
          </cell>
        </row>
        <row r="77">
          <cell r="G77">
            <v>2066775.2399701439</v>
          </cell>
          <cell r="H77">
            <v>2128435.2439011978</v>
          </cell>
        </row>
        <row r="78">
          <cell r="G78">
            <v>589389.25971405394</v>
          </cell>
          <cell r="H78">
            <v>750204.31627180125</v>
          </cell>
        </row>
        <row r="79">
          <cell r="G79">
            <v>-2055023.5668387599</v>
          </cell>
          <cell r="H79">
            <v>-244537.76585228671</v>
          </cell>
        </row>
        <row r="168">
          <cell r="G168">
            <v>2236393.0554443295</v>
          </cell>
          <cell r="H168">
            <v>2381633.56525</v>
          </cell>
        </row>
        <row r="179">
          <cell r="G179">
            <v>4762947.6500000004</v>
          </cell>
          <cell r="H179">
            <v>3885958.5837215539</v>
          </cell>
        </row>
        <row r="186">
          <cell r="G186">
            <v>2296302.7508969461</v>
          </cell>
          <cell r="H186">
            <v>1965647.9800000004</v>
          </cell>
        </row>
        <row r="203">
          <cell r="G203">
            <v>117.1280267269306</v>
          </cell>
        </row>
        <row r="204">
          <cell r="H204">
            <v>-2.5897463748875915E-2</v>
          </cell>
        </row>
      </sheetData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Пб"/>
      <sheetName val="модель"/>
      <sheetName val="КТ"/>
      <sheetName val="2015 ОАО ПСК"/>
      <sheetName val="2016 (2)"/>
      <sheetName val="2017 (2)"/>
      <sheetName val="2018 (2)"/>
      <sheetName val="2019 (2)"/>
      <sheetName val="2020"/>
      <sheetName val="ВыпадКТ"/>
      <sheetName val="свод ЛО"/>
      <sheetName val="Тарифная модель ЛО"/>
      <sheetName val="расчет котловых ЛО"/>
      <sheetName val="ээ ЛО"/>
      <sheetName val="мощность ЛО"/>
      <sheetName val="кредиты3"/>
    </sheetNames>
    <sheetDataSet>
      <sheetData sheetId="0"/>
      <sheetData sheetId="1">
        <row r="17">
          <cell r="I17">
            <v>0.03</v>
          </cell>
        </row>
        <row r="54">
          <cell r="H54">
            <v>4865919.3127843998</v>
          </cell>
        </row>
        <row r="65">
          <cell r="H65">
            <v>11249.64</v>
          </cell>
        </row>
        <row r="66">
          <cell r="H66">
            <v>5910855.561160326</v>
          </cell>
        </row>
        <row r="86">
          <cell r="H86">
            <v>3373854.4959750352</v>
          </cell>
        </row>
        <row r="88">
          <cell r="H88">
            <v>3588076.0198448934</v>
          </cell>
        </row>
        <row r="89">
          <cell r="H89">
            <v>3173269.9751762589</v>
          </cell>
        </row>
        <row r="93">
          <cell r="H93">
            <v>2366956.3354742331</v>
          </cell>
        </row>
        <row r="94">
          <cell r="H94">
            <v>573146.49612335907</v>
          </cell>
        </row>
        <row r="95">
          <cell r="H95">
            <v>-729322.08616769477</v>
          </cell>
        </row>
        <row r="96">
          <cell r="H96">
            <v>-6387.4998165579909</v>
          </cell>
        </row>
        <row r="97">
          <cell r="H97">
            <v>68078.145741981163</v>
          </cell>
        </row>
        <row r="98">
          <cell r="H98">
            <v>0</v>
          </cell>
        </row>
        <row r="99">
          <cell r="H99">
            <v>-1082412.7166415837</v>
          </cell>
        </row>
        <row r="211">
          <cell r="H211">
            <v>4490230.1773745148</v>
          </cell>
        </row>
        <row r="217">
          <cell r="H217">
            <v>827782.12551089993</v>
          </cell>
        </row>
        <row r="231">
          <cell r="H231">
            <v>3871308.1359399995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8">
          <cell r="K38">
            <v>2995653.5999999996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Пб"/>
      <sheetName val="анализ моделей СПб"/>
      <sheetName val="модель"/>
      <sheetName val="КТ"/>
      <sheetName val="2015 ОАО ПСК"/>
      <sheetName val="2016"/>
      <sheetName val="2017"/>
      <sheetName val="2018"/>
      <sheetName val="2019"/>
      <sheetName val="2020"/>
      <sheetName val="ВыпадКТ"/>
      <sheetName val="кредиты3"/>
      <sheetName val="продление"/>
      <sheetName val="баланс ЛЭ СПб "/>
      <sheetName val="свод ЛО"/>
      <sheetName val="анализ моделей ЛО"/>
      <sheetName val="Тарифная модель ЛО"/>
      <sheetName val="расчет котловых ЛО"/>
      <sheetName val="ээ ЛО"/>
      <sheetName val="мощность ЛО"/>
      <sheetName val="Лист1"/>
      <sheetName val="ЧП по закл ЛенРТК"/>
    </sheetNames>
    <sheetDataSet>
      <sheetData sheetId="0"/>
      <sheetData sheetId="1"/>
      <sheetData sheetId="2">
        <row r="17">
          <cell r="I17">
            <v>0.03</v>
          </cell>
          <cell r="J17">
            <v>0.03</v>
          </cell>
          <cell r="K17">
            <v>0.03</v>
          </cell>
          <cell r="L17">
            <v>0.03</v>
          </cell>
          <cell r="M17">
            <v>0.03</v>
          </cell>
          <cell r="N17">
            <v>0.03</v>
          </cell>
        </row>
        <row r="54">
          <cell r="I54">
            <v>4974133.7765003797</v>
          </cell>
          <cell r="J54">
            <v>4841734.4061323991</v>
          </cell>
          <cell r="K54">
            <v>5274946.20943416</v>
          </cell>
          <cell r="L54">
            <v>5315892.0560619924</v>
          </cell>
          <cell r="M54">
            <v>5558418.4488876266</v>
          </cell>
          <cell r="N54">
            <v>5780755.1868431317</v>
          </cell>
        </row>
        <row r="65">
          <cell r="I65">
            <v>9663.76</v>
          </cell>
          <cell r="J65">
            <v>8031.19</v>
          </cell>
          <cell r="K65">
            <v>10761.159744437833</v>
          </cell>
        </row>
        <row r="66">
          <cell r="I66">
            <v>6502919.1370916693</v>
          </cell>
          <cell r="J66">
            <v>7956151.8512887517</v>
          </cell>
          <cell r="K66">
            <v>8964497.6206852514</v>
          </cell>
          <cell r="L66">
            <v>9952305.5409501363</v>
          </cell>
          <cell r="M66">
            <v>11067113.897968976</v>
          </cell>
          <cell r="N66">
            <v>12759109.06261657</v>
          </cell>
        </row>
        <row r="86">
          <cell r="I86">
            <v>3515135.4392772056</v>
          </cell>
          <cell r="J86">
            <v>3724324.553691627</v>
          </cell>
          <cell r="K86">
            <v>3916157.7569169179</v>
          </cell>
          <cell r="L86">
            <v>4020789.6244740253</v>
          </cell>
          <cell r="M86">
            <v>4114853.271820853</v>
          </cell>
          <cell r="N86">
            <v>4175415.1847140542</v>
          </cell>
        </row>
        <row r="88">
          <cell r="I88">
            <v>3937018.5169055443</v>
          </cell>
          <cell r="J88">
            <v>3996996.3880876089</v>
          </cell>
          <cell r="K88">
            <v>4379942.478863515</v>
          </cell>
          <cell r="L88">
            <v>4793645.7514704838</v>
          </cell>
          <cell r="M88">
            <v>5156084.2810985539</v>
          </cell>
          <cell r="N88">
            <v>5657479.0208652113</v>
          </cell>
        </row>
        <row r="89">
          <cell r="I89">
            <v>4432707.5816851323</v>
          </cell>
          <cell r="J89">
            <v>4521465.7031249721</v>
          </cell>
          <cell r="K89">
            <v>5855276.1302708033</v>
          </cell>
          <cell r="L89">
            <v>7266234.2900032848</v>
          </cell>
          <cell r="M89">
            <v>8424523.8362025879</v>
          </cell>
          <cell r="N89">
            <v>12341336.824318223</v>
          </cell>
        </row>
        <row r="92">
          <cell r="I92">
            <v>392090.64886040392</v>
          </cell>
        </row>
        <row r="93">
          <cell r="I93">
            <v>3726525.2526265918</v>
          </cell>
          <cell r="J93">
            <v>6101390.4437261717</v>
          </cell>
          <cell r="K93">
            <v>6579570.9874290396</v>
          </cell>
          <cell r="L93">
            <v>2295626.8900032626</v>
          </cell>
          <cell r="M93">
            <v>1117380.4648310205</v>
          </cell>
          <cell r="N93">
            <v>425662.45512177813</v>
          </cell>
        </row>
        <row r="94">
          <cell r="I94">
            <v>-361205.13068758167</v>
          </cell>
          <cell r="J94">
            <v>-659337.38560584921</v>
          </cell>
          <cell r="K94">
            <v>756103.2191155731</v>
          </cell>
        </row>
        <row r="95">
          <cell r="I95">
            <v>-356273.89086775918</v>
          </cell>
          <cell r="J95">
            <v>-630839.71870103152</v>
          </cell>
          <cell r="K95">
            <v>-226983.45034408441</v>
          </cell>
          <cell r="M95">
            <v>386987.63972902135</v>
          </cell>
        </row>
        <row r="96">
          <cell r="I96">
            <v>134730.29703595152</v>
          </cell>
          <cell r="J96">
            <v>177187.94</v>
          </cell>
          <cell r="K96">
            <v>302484.76584188751</v>
          </cell>
        </row>
        <row r="97">
          <cell r="I97">
            <v>504345.43896330678</v>
          </cell>
          <cell r="J97">
            <v>-773084.26255859993</v>
          </cell>
          <cell r="K97">
            <v>-431733.54371665866</v>
          </cell>
        </row>
        <row r="98">
          <cell r="I98">
            <v>0</v>
          </cell>
          <cell r="J98">
            <v>0</v>
          </cell>
          <cell r="K98">
            <v>355259.41372770502</v>
          </cell>
        </row>
        <row r="101">
          <cell r="I101">
            <v>-2691359.194906855</v>
          </cell>
          <cell r="J101">
            <v>2484549.2677686783</v>
          </cell>
          <cell r="K101">
            <v>-1213116.4293709421</v>
          </cell>
          <cell r="L101">
            <v>3360783.7674093065</v>
          </cell>
          <cell r="M101">
            <v>5362008.3718702653</v>
          </cell>
          <cell r="N101">
            <v>8220160.8719230564</v>
          </cell>
        </row>
        <row r="114">
          <cell r="L114">
            <v>167936900.82248232</v>
          </cell>
          <cell r="M114">
            <v>180622249.35946479</v>
          </cell>
          <cell r="N114">
            <v>198171065.25129777</v>
          </cell>
        </row>
        <row r="115">
          <cell r="L115">
            <v>91182064.439289451</v>
          </cell>
          <cell r="M115">
            <v>99073767.224801421</v>
          </cell>
          <cell r="N115">
            <v>111466498.83553584</v>
          </cell>
        </row>
        <row r="130">
          <cell r="I130">
            <v>335989.44106849312</v>
          </cell>
          <cell r="J130">
            <v>391127.41457984591</v>
          </cell>
          <cell r="K130">
            <v>446692.52180281444</v>
          </cell>
          <cell r="L130">
            <v>584749.17898838012</v>
          </cell>
          <cell r="M130">
            <v>633787.71728621004</v>
          </cell>
          <cell r="N130">
            <v>712579.03527042549</v>
          </cell>
        </row>
        <row r="131">
          <cell r="I131">
            <v>0.01</v>
          </cell>
          <cell r="J131">
            <v>0.01</v>
          </cell>
          <cell r="K131">
            <v>0.01</v>
          </cell>
          <cell r="L131">
            <v>0.01</v>
          </cell>
          <cell r="M131">
            <v>0.01</v>
          </cell>
          <cell r="N131">
            <v>0.11</v>
          </cell>
        </row>
        <row r="132">
          <cell r="I132">
            <v>0.11</v>
          </cell>
          <cell r="J132">
            <v>0.11</v>
          </cell>
          <cell r="K132">
            <v>0.11</v>
          </cell>
          <cell r="L132">
            <v>0.11</v>
          </cell>
          <cell r="M132">
            <v>0.11</v>
          </cell>
          <cell r="N132">
            <v>0.11</v>
          </cell>
        </row>
        <row r="213">
          <cell r="I213">
            <v>5395475.3914620234</v>
          </cell>
          <cell r="J213">
            <v>5959324.1979174335</v>
          </cell>
          <cell r="K213">
            <v>5186085.3318836894</v>
          </cell>
          <cell r="L213">
            <v>5754241.3776625711</v>
          </cell>
          <cell r="M213">
            <v>5925351.9918777309</v>
          </cell>
          <cell r="N213">
            <v>5172157.7875930974</v>
          </cell>
        </row>
        <row r="219">
          <cell r="I219">
            <v>820204.76771244849</v>
          </cell>
          <cell r="J219">
            <v>826733.11794794351</v>
          </cell>
          <cell r="K219">
            <v>962116.7504130688</v>
          </cell>
          <cell r="L219">
            <v>1019843.7554378529</v>
          </cell>
          <cell r="M219">
            <v>1081034.3807641242</v>
          </cell>
          <cell r="N219">
            <v>1145896.4436099716</v>
          </cell>
        </row>
        <row r="233">
          <cell r="I233">
            <v>4222121.6102471305</v>
          </cell>
          <cell r="J233">
            <v>4574803.6947239023</v>
          </cell>
          <cell r="K233">
            <v>4874693.0051326258</v>
          </cell>
          <cell r="L233">
            <v>5624590.0806492772</v>
          </cell>
          <cell r="M233">
            <v>6033700.463798631</v>
          </cell>
          <cell r="N233">
            <v>6472414.8994056592</v>
          </cell>
        </row>
        <row r="235">
          <cell r="I235">
            <v>0.12755610021185135</v>
          </cell>
          <cell r="J235">
            <v>0.11122380646580064</v>
          </cell>
          <cell r="K235">
            <v>0.12655489731951514</v>
          </cell>
          <cell r="L235">
            <v>0.12457565844231867</v>
          </cell>
          <cell r="M235">
            <v>0.12484119096627778</v>
          </cell>
          <cell r="N235">
            <v>0.12510511863656512</v>
          </cell>
        </row>
        <row r="256">
          <cell r="I256">
            <v>17462.429600000003</v>
          </cell>
          <cell r="J256">
            <v>18255.430357999998</v>
          </cell>
          <cell r="K256">
            <v>17902.943100800007</v>
          </cell>
          <cell r="L256">
            <v>18448.056309104006</v>
          </cell>
          <cell r="M256">
            <v>18624.35145860945</v>
          </cell>
          <cell r="N256">
            <v>18802.24585133823</v>
          </cell>
        </row>
        <row r="295">
          <cell r="I295">
            <v>1760383.9447472305</v>
          </cell>
          <cell r="J295">
            <v>7197010.0391143085</v>
          </cell>
          <cell r="K295">
            <v>13660707.558270358</v>
          </cell>
          <cell r="L295">
            <v>11743060.202479403</v>
          </cell>
          <cell r="M295">
            <v>16366363.223708639</v>
          </cell>
          <cell r="N295">
            <v>13655697.04212811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K10">
            <v>0.03</v>
          </cell>
          <cell r="L10">
            <v>0.03</v>
          </cell>
          <cell r="M10">
            <v>0.03</v>
          </cell>
          <cell r="N10">
            <v>0.03</v>
          </cell>
          <cell r="O10">
            <v>0.03</v>
          </cell>
          <cell r="P10">
            <v>0.03</v>
          </cell>
        </row>
        <row r="38">
          <cell r="L38">
            <v>3120812.0074079987</v>
          </cell>
          <cell r="M38">
            <v>3501007.0261493139</v>
          </cell>
          <cell r="N38">
            <v>3870891.7333767223</v>
          </cell>
          <cell r="O38">
            <v>4065073.0335809519</v>
          </cell>
          <cell r="P38">
            <v>4183679.0334878219</v>
          </cell>
        </row>
        <row r="39">
          <cell r="K39">
            <v>2995653.5999999996</v>
          </cell>
        </row>
        <row r="43">
          <cell r="K43">
            <v>2564398.2048411597</v>
          </cell>
          <cell r="L43">
            <v>2620522.0970867793</v>
          </cell>
          <cell r="M43">
            <v>2828834.742761693</v>
          </cell>
          <cell r="N43">
            <v>2958358.6325520193</v>
          </cell>
          <cell r="O43">
            <v>3075380.670612053</v>
          </cell>
          <cell r="P43">
            <v>3182080.5818951447</v>
          </cell>
        </row>
        <row r="51">
          <cell r="K51">
            <v>138321</v>
          </cell>
          <cell r="L51">
            <v>383043.43388649565</v>
          </cell>
          <cell r="M51">
            <v>377052.89152837603</v>
          </cell>
          <cell r="N51">
            <v>377052.89152837603</v>
          </cell>
          <cell r="O51">
            <v>377052.89152837603</v>
          </cell>
          <cell r="P51">
            <v>377052.89152837649</v>
          </cell>
        </row>
        <row r="52">
          <cell r="K52">
            <v>43010.75</v>
          </cell>
          <cell r="L52">
            <v>32844.400000000001</v>
          </cell>
          <cell r="M52">
            <v>91324.86</v>
          </cell>
        </row>
        <row r="53">
          <cell r="K53">
            <v>3320673.4934764206</v>
          </cell>
          <cell r="L53">
            <v>3627091.2995618843</v>
          </cell>
          <cell r="M53">
            <v>4022592.1236451338</v>
          </cell>
          <cell r="N53">
            <v>4302927.84168512</v>
          </cell>
          <cell r="O53">
            <v>5817425.688701665</v>
          </cell>
          <cell r="P53">
            <v>8030453.5275308443</v>
          </cell>
        </row>
        <row r="76">
          <cell r="J76">
            <v>2393509.4045953136</v>
          </cell>
          <cell r="K76">
            <v>2434769.4999079653</v>
          </cell>
          <cell r="L76">
            <v>2597361.3238402125</v>
          </cell>
          <cell r="M76">
            <v>2827128.3440625556</v>
          </cell>
          <cell r="N76">
            <v>3066708.3269625995</v>
          </cell>
          <cell r="O76">
            <v>3269673.8343139887</v>
          </cell>
        </row>
        <row r="77">
          <cell r="J77">
            <v>1701272.0899231634</v>
          </cell>
          <cell r="K77">
            <v>1818383.0272330444</v>
          </cell>
          <cell r="L77">
            <v>2366095.4753603367</v>
          </cell>
          <cell r="M77">
            <v>3177160.1387127903</v>
          </cell>
          <cell r="N77">
            <v>3996257.3675394938</v>
          </cell>
          <cell r="O77">
            <v>5252425.8880932117</v>
          </cell>
        </row>
        <row r="80">
          <cell r="J80">
            <v>0</v>
          </cell>
        </row>
        <row r="81">
          <cell r="J81">
            <v>-347286.81224778912</v>
          </cell>
          <cell r="K81">
            <v>311925.84894132352</v>
          </cell>
          <cell r="L81">
            <v>71557.227789125463</v>
          </cell>
        </row>
        <row r="82">
          <cell r="J82">
            <v>136656.46</v>
          </cell>
          <cell r="K82">
            <v>515637.73298269347</v>
          </cell>
          <cell r="L82">
            <v>-108306.22456830654</v>
          </cell>
        </row>
        <row r="83">
          <cell r="L83">
            <v>121446.76699999999</v>
          </cell>
        </row>
        <row r="85">
          <cell r="J85">
            <v>187355.4937775016</v>
          </cell>
          <cell r="K85">
            <v>10448.126958078281</v>
          </cell>
          <cell r="L85">
            <v>0</v>
          </cell>
        </row>
        <row r="86">
          <cell r="J86">
            <v>64436.564039192621</v>
          </cell>
          <cell r="K86">
            <v>198982.06187776825</v>
          </cell>
          <cell r="L86">
            <v>313829.21803868824</v>
          </cell>
        </row>
        <row r="87">
          <cell r="J87">
            <v>161783.14000000001</v>
          </cell>
          <cell r="K87">
            <v>-457349.25621834665</v>
          </cell>
          <cell r="L87">
            <v>96028.862018992571</v>
          </cell>
        </row>
        <row r="88">
          <cell r="J88">
            <v>-1271994.31818125</v>
          </cell>
          <cell r="K88">
            <v>-1226599.98</v>
          </cell>
          <cell r="L88">
            <v>-1488861.97</v>
          </cell>
          <cell r="M88">
            <v>1682332.9607757179</v>
          </cell>
          <cell r="N88">
            <v>6540549.5733215148</v>
          </cell>
          <cell r="O88">
            <v>13243542.60054398</v>
          </cell>
        </row>
        <row r="95">
          <cell r="M95">
            <v>98920646.797425777</v>
          </cell>
          <cell r="N95">
            <v>107305946.19892731</v>
          </cell>
          <cell r="O95">
            <v>114409738.95622592</v>
          </cell>
        </row>
        <row r="110">
          <cell r="M110">
            <v>37684350.487815723</v>
          </cell>
          <cell r="N110">
            <v>43242521.545254707</v>
          </cell>
          <cell r="O110">
            <v>47279605.975590713</v>
          </cell>
        </row>
        <row r="111">
          <cell r="J111">
            <v>204330.44568241542</v>
          </cell>
          <cell r="K111">
            <v>256066.3176309501</v>
          </cell>
          <cell r="L111">
            <v>304460</v>
          </cell>
          <cell r="M111">
            <v>229854.99658546993</v>
          </cell>
          <cell r="N111">
            <v>317208.82037225814</v>
          </cell>
          <cell r="O111">
            <v>469720.27980212448</v>
          </cell>
        </row>
        <row r="112">
          <cell r="J112">
            <v>0.01</v>
          </cell>
          <cell r="K112">
            <v>0.01</v>
          </cell>
          <cell r="L112">
            <v>0.01</v>
          </cell>
          <cell r="M112">
            <v>0.01</v>
          </cell>
          <cell r="N112">
            <v>0.01</v>
          </cell>
          <cell r="O112">
            <v>0.11</v>
          </cell>
        </row>
        <row r="113">
          <cell r="J113">
            <v>0.11</v>
          </cell>
          <cell r="K113">
            <v>0.11</v>
          </cell>
          <cell r="L113">
            <v>0.11</v>
          </cell>
          <cell r="M113">
            <v>0.11</v>
          </cell>
          <cell r="N113">
            <v>0.11</v>
          </cell>
          <cell r="O113">
            <v>0.11</v>
          </cell>
        </row>
        <row r="179">
          <cell r="J179">
            <v>2564398.2048411597</v>
          </cell>
          <cell r="K179">
            <v>2620522.0970867793</v>
          </cell>
          <cell r="L179">
            <v>2828834.742761693</v>
          </cell>
          <cell r="M179">
            <v>2958358.6325520193</v>
          </cell>
          <cell r="N179">
            <v>3075380.670612053</v>
          </cell>
          <cell r="O179">
            <v>3182080.5818951447</v>
          </cell>
        </row>
        <row r="190">
          <cell r="J190">
            <v>5896390.3971771151</v>
          </cell>
          <cell r="K190">
            <v>7538675.3504799316</v>
          </cell>
          <cell r="L190">
            <v>7792987.790000001</v>
          </cell>
          <cell r="M190">
            <v>8139630.0453027766</v>
          </cell>
          <cell r="N190">
            <v>8423946.6060062516</v>
          </cell>
          <cell r="O190">
            <v>8683127.9893202409</v>
          </cell>
        </row>
        <row r="197">
          <cell r="J197">
            <v>2136583.6535752006</v>
          </cell>
          <cell r="K197">
            <v>2563382.1595242936</v>
          </cell>
          <cell r="L197">
            <v>2749467.7</v>
          </cell>
          <cell r="M197">
            <v>2975485.141921659</v>
          </cell>
          <cell r="N197">
            <v>3109231.370073026</v>
          </cell>
          <cell r="O197">
            <v>3161532.8124161568</v>
          </cell>
        </row>
        <row r="199">
          <cell r="J199">
            <v>9.5468562424758388E-2</v>
          </cell>
          <cell r="K199">
            <v>0.10281375213980136</v>
          </cell>
          <cell r="L199">
            <v>0.10490244955759563</v>
          </cell>
          <cell r="M199">
            <v>9.7914689375411187E-2</v>
          </cell>
          <cell r="N199">
            <v>9.3896992787507572E-2</v>
          </cell>
          <cell r="O199">
            <v>8.9930759834244201E-2</v>
          </cell>
        </row>
        <row r="212">
          <cell r="J212">
            <v>12067.01</v>
          </cell>
          <cell r="K212">
            <v>12162.9894</v>
          </cell>
          <cell r="L212">
            <v>12436.033000000001</v>
          </cell>
          <cell r="M212">
            <v>12550.076477214716</v>
          </cell>
          <cell r="N212">
            <v>12892.036032184824</v>
          </cell>
          <cell r="O212">
            <v>13251.357138386929</v>
          </cell>
        </row>
        <row r="223">
          <cell r="J223">
            <v>1132673.4375599432</v>
          </cell>
          <cell r="K223">
            <v>5125671.5822638785</v>
          </cell>
          <cell r="L223">
            <v>8161107.0039989958</v>
          </cell>
          <cell r="M223">
            <v>7583694.608299097</v>
          </cell>
          <cell r="N223">
            <v>6583399.8425258351</v>
          </cell>
          <cell r="O223">
            <v>5599484.6452116035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б коррект."/>
      <sheetName val="итоги СПб коррект."/>
      <sheetName val="СПб"/>
      <sheetName val="итоги СПб"/>
      <sheetName val="Итоги СПб 2014"/>
      <sheetName val="утв СПб 2014"/>
      <sheetName val="Итоги ЛО 2014"/>
      <sheetName val="утв ЛО 2014 "/>
      <sheetName val="Расчет НР"/>
      <sheetName val="ФФ для БП"/>
    </sheetNames>
    <sheetDataSet>
      <sheetData sheetId="0"/>
      <sheetData sheetId="1"/>
      <sheetData sheetId="2"/>
      <sheetData sheetId="3"/>
      <sheetData sheetId="4"/>
      <sheetData sheetId="5">
        <row r="17">
          <cell r="I17">
            <v>0.03</v>
          </cell>
        </row>
        <row r="117">
          <cell r="I117">
            <v>282261.1565072168</v>
          </cell>
        </row>
        <row r="118">
          <cell r="I118">
            <v>0.01</v>
          </cell>
        </row>
        <row r="119">
          <cell r="I119">
            <v>0.11</v>
          </cell>
        </row>
        <row r="206">
          <cell r="I206">
            <v>0.10421535364449729</v>
          </cell>
        </row>
        <row r="223">
          <cell r="G223">
            <v>19226.517</v>
          </cell>
          <cell r="H223">
            <v>19463.457000000002</v>
          </cell>
          <cell r="I223">
            <v>18676</v>
          </cell>
        </row>
        <row r="224">
          <cell r="F224">
            <v>98.906500798772953</v>
          </cell>
        </row>
        <row r="260">
          <cell r="I260">
            <v>12307531</v>
          </cell>
        </row>
      </sheetData>
      <sheetData sheetId="6"/>
      <sheetData sheetId="7">
        <row r="9">
          <cell r="I9">
            <v>5.6000000000000001E-2</v>
          </cell>
        </row>
        <row r="10">
          <cell r="I10">
            <v>0.03</v>
          </cell>
        </row>
        <row r="36">
          <cell r="I36">
            <v>2773238.301914067</v>
          </cell>
        </row>
        <row r="41">
          <cell r="I41">
            <v>2477895.7039999999</v>
          </cell>
        </row>
        <row r="52">
          <cell r="I52">
            <v>60489.216</v>
          </cell>
        </row>
        <row r="53">
          <cell r="I53">
            <v>3042534</v>
          </cell>
        </row>
        <row r="76">
          <cell r="I76">
            <v>2173501.3370409259</v>
          </cell>
        </row>
        <row r="77">
          <cell r="I77">
            <v>893876.27761771646</v>
          </cell>
        </row>
        <row r="79">
          <cell r="I79">
            <v>418905.76815999998</v>
          </cell>
        </row>
        <row r="80">
          <cell r="I80">
            <v>-61044.83</v>
          </cell>
        </row>
        <row r="81">
          <cell r="I81">
            <v>60084.61</v>
          </cell>
        </row>
        <row r="82">
          <cell r="I82">
            <v>-713056.37</v>
          </cell>
        </row>
        <row r="83">
          <cell r="I83">
            <v>-919264</v>
          </cell>
        </row>
        <row r="104">
          <cell r="I104">
            <v>168668.32</v>
          </cell>
        </row>
        <row r="105">
          <cell r="I105">
            <v>0.01</v>
          </cell>
        </row>
        <row r="106">
          <cell r="I106">
            <v>0.11</v>
          </cell>
        </row>
        <row r="172">
          <cell r="I172">
            <v>2477895.7039999999</v>
          </cell>
        </row>
        <row r="183">
          <cell r="I183">
            <v>5628479.6933718026</v>
          </cell>
        </row>
        <row r="190">
          <cell r="I190">
            <v>2772678.6246600007</v>
          </cell>
        </row>
        <row r="206">
          <cell r="G206">
            <v>11058.605621104893</v>
          </cell>
          <cell r="H206">
            <v>12384.19197</v>
          </cell>
          <cell r="I206">
            <v>12233.465038027585</v>
          </cell>
        </row>
        <row r="211">
          <cell r="G211">
            <v>3.1275831885582361E-2</v>
          </cell>
        </row>
        <row r="217">
          <cell r="I217">
            <v>4458583.7450562073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б"/>
      <sheetName val="ЛО"/>
      <sheetName val="НВВ 2011-2015 первые"/>
      <sheetName val="НВВ 2011 изм"/>
      <sheetName val="НВВ 2011 изм тарифы"/>
      <sheetName val="НВВ 2011-2015 изм"/>
      <sheetName val="НВ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V18">
            <v>103.02592564580625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1">
          <cell r="C71">
            <v>107891.13136608485</v>
          </cell>
          <cell r="D71">
            <v>116852.1429507705</v>
          </cell>
          <cell r="E71">
            <v>126732.00741020666</v>
          </cell>
          <cell r="H71">
            <v>72068.190858448812</v>
          </cell>
          <cell r="I71">
            <v>74567.30318649979</v>
          </cell>
          <cell r="J71">
            <v>77133.259406574056</v>
          </cell>
        </row>
        <row r="72">
          <cell r="C72">
            <v>53489.356333266303</v>
          </cell>
          <cell r="D72">
            <v>59383.53028250832</v>
          </cell>
          <cell r="E72">
            <v>65978.745215015078</v>
          </cell>
          <cell r="H72">
            <v>24447.220309170203</v>
          </cell>
          <cell r="I72">
            <v>24894.520186211448</v>
          </cell>
          <cell r="J72">
            <v>25339.891981762383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1">
          <cell r="F71">
            <v>137811.3513612964</v>
          </cell>
          <cell r="G71">
            <v>137715.59875280436</v>
          </cell>
          <cell r="H71">
            <v>142916.12341995435</v>
          </cell>
          <cell r="L71">
            <v>83618.694992429737</v>
          </cell>
          <cell r="M71">
            <v>84021.561689595081</v>
          </cell>
          <cell r="N71">
            <v>88433.935554900119</v>
          </cell>
        </row>
        <row r="72">
          <cell r="F72">
            <v>73443.651305246516</v>
          </cell>
          <cell r="G72">
            <v>69464.224356556224</v>
          </cell>
          <cell r="H72">
            <v>70916.872572281893</v>
          </cell>
          <cell r="L72">
            <v>29648.46315040722</v>
          </cell>
          <cell r="M72">
            <v>27772.491389914372</v>
          </cell>
          <cell r="N72">
            <v>29829.228101041092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б коррект."/>
      <sheetName val="итоги СПб коррект."/>
      <sheetName val="СПб"/>
      <sheetName val="итоги СПб"/>
      <sheetName val="Итоги СПб 2014"/>
      <sheetName val="утв СПб 2014"/>
      <sheetName val="Итоги ЛО 2014"/>
      <sheetName val="утв ЛО 2014 "/>
      <sheetName val="Расчет НР"/>
      <sheetName val="ФФ для БП"/>
    </sheetNames>
    <sheetDataSet>
      <sheetData sheetId="0"/>
      <sheetData sheetId="1"/>
      <sheetData sheetId="2"/>
      <sheetData sheetId="3"/>
      <sheetData sheetId="4"/>
      <sheetData sheetId="5">
        <row r="17">
          <cell r="G17">
            <v>0.03</v>
          </cell>
          <cell r="H17">
            <v>0.03</v>
          </cell>
        </row>
        <row r="117">
          <cell r="G117">
            <v>222440.75912891421</v>
          </cell>
          <cell r="H117">
            <v>236146.22800000006</v>
          </cell>
        </row>
        <row r="118">
          <cell r="G118">
            <v>0.01</v>
          </cell>
          <cell r="H118">
            <v>0.01</v>
          </cell>
        </row>
        <row r="119">
          <cell r="G119">
            <v>0.12</v>
          </cell>
          <cell r="H119">
            <v>0.11</v>
          </cell>
        </row>
        <row r="206">
          <cell r="G206">
            <v>0.1072732635415086</v>
          </cell>
          <cell r="H206">
            <v>0.10063612185382725</v>
          </cell>
        </row>
        <row r="260">
          <cell r="G260">
            <v>6784041.7069591582</v>
          </cell>
          <cell r="H260">
            <v>5252692</v>
          </cell>
        </row>
      </sheetData>
      <sheetData sheetId="6"/>
      <sheetData sheetId="7">
        <row r="10">
          <cell r="G10">
            <v>0.03</v>
          </cell>
          <cell r="H10">
            <v>0.03</v>
          </cell>
        </row>
        <row r="104">
          <cell r="G104">
            <v>105968.416</v>
          </cell>
          <cell r="H104">
            <v>117159.35761993485</v>
          </cell>
        </row>
        <row r="105">
          <cell r="G105">
            <v>0.01</v>
          </cell>
          <cell r="H105">
            <v>0.01</v>
          </cell>
        </row>
        <row r="106">
          <cell r="G106">
            <v>0.12</v>
          </cell>
          <cell r="H106">
            <v>0.11</v>
          </cell>
        </row>
        <row r="217">
          <cell r="G217">
            <v>2463574.9490472493</v>
          </cell>
          <cell r="H217">
            <v>3334058.1760895406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lenenergo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workbookViewId="0">
      <selection activeCell="A18" sqref="A18"/>
    </sheetView>
  </sheetViews>
  <sheetFormatPr defaultRowHeight="12.75" x14ac:dyDescent="0.2"/>
  <cols>
    <col min="9" max="9" width="9" customWidth="1"/>
    <col min="13" max="15" width="0" hidden="1" customWidth="1"/>
    <col min="16" max="19" width="9.140625" style="51"/>
  </cols>
  <sheetData>
    <row r="1" spans="1:6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6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60" ht="62.25" thickBot="1" x14ac:dyDescent="0.95">
      <c r="A3" s="38"/>
      <c r="B3" s="38"/>
      <c r="C3" s="38"/>
      <c r="D3" s="38"/>
      <c r="E3" s="38"/>
      <c r="F3" s="38"/>
      <c r="G3" s="38"/>
      <c r="H3" s="153" t="s">
        <v>133</v>
      </c>
      <c r="I3" s="153"/>
      <c r="J3" s="154"/>
      <c r="K3" s="154"/>
      <c r="L3" s="154"/>
      <c r="M3" s="46"/>
      <c r="N3" s="46"/>
      <c r="O3" s="46"/>
      <c r="Q3" s="147"/>
      <c r="R3" s="147"/>
      <c r="S3" s="147"/>
      <c r="T3" s="148"/>
      <c r="U3" s="148"/>
      <c r="V3" s="148"/>
    </row>
    <row r="4" spans="1:60" ht="31.5" x14ac:dyDescent="0.5">
      <c r="A4" s="38"/>
      <c r="B4" s="38"/>
      <c r="C4" s="38"/>
      <c r="D4" s="38"/>
      <c r="E4" s="38"/>
      <c r="F4" s="38"/>
      <c r="G4" s="38"/>
      <c r="H4" s="155" t="s">
        <v>134</v>
      </c>
      <c r="I4" s="156"/>
      <c r="J4" s="156"/>
      <c r="K4" s="45"/>
      <c r="L4" s="45"/>
      <c r="M4" s="45"/>
      <c r="N4" s="45"/>
      <c r="O4" s="45"/>
      <c r="Q4" s="147"/>
      <c r="R4" s="147"/>
      <c r="S4" s="147"/>
      <c r="T4" s="148"/>
      <c r="U4" s="148"/>
      <c r="V4" s="148"/>
    </row>
    <row r="5" spans="1:60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Q5" s="147"/>
      <c r="R5" s="147"/>
      <c r="S5" s="147"/>
      <c r="T5" s="148"/>
      <c r="U5" s="148"/>
      <c r="V5" s="148"/>
    </row>
    <row r="6" spans="1:60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149"/>
      <c r="R6" s="147"/>
      <c r="S6" s="147"/>
      <c r="T6" s="148"/>
      <c r="U6" s="148"/>
      <c r="V6" s="148"/>
    </row>
    <row r="7" spans="1:60" s="49" customFormat="1" ht="23.25" x14ac:dyDescent="0.35">
      <c r="A7" s="48" t="s">
        <v>142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52"/>
      <c r="Q7" s="150"/>
      <c r="R7" s="150"/>
      <c r="S7" s="150"/>
      <c r="T7" s="151"/>
      <c r="U7" s="151"/>
      <c r="V7" s="151"/>
    </row>
    <row r="8" spans="1:60" s="49" customFormat="1" ht="23.25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52"/>
      <c r="Q8" s="150"/>
      <c r="R8" s="150"/>
      <c r="S8" s="150"/>
      <c r="T8" s="151"/>
      <c r="U8" s="151"/>
      <c r="V8" s="151"/>
    </row>
    <row r="9" spans="1:60" s="44" customFormat="1" ht="20.25" x14ac:dyDescent="0.3">
      <c r="A9" s="44" t="s">
        <v>184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</row>
    <row r="10" spans="1:60" s="44" customFormat="1" ht="20.25" x14ac:dyDescent="0.3">
      <c r="A10" s="44" t="s">
        <v>185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</row>
    <row r="11" spans="1:60" s="44" customFormat="1" ht="20.25" x14ac:dyDescent="0.3">
      <c r="A11" s="44" t="s">
        <v>141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44" customFormat="1" ht="20.25" x14ac:dyDescent="0.3">
      <c r="A12" s="44" t="s">
        <v>135</v>
      </c>
      <c r="P12" s="56"/>
      <c r="Q12" s="56"/>
      <c r="R12" s="147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44" customFormat="1" ht="20.25" x14ac:dyDescent="0.3">
      <c r="A13" s="44" t="s">
        <v>136</v>
      </c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44" customFormat="1" ht="20.25" x14ac:dyDescent="0.3">
      <c r="A14" s="44" t="s">
        <v>137</v>
      </c>
      <c r="P14" s="56"/>
      <c r="Q14" s="56"/>
      <c r="R14" s="147"/>
      <c r="S14" s="57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44" customFormat="1" ht="20.25" x14ac:dyDescent="0.3">
      <c r="A15" s="44" t="s">
        <v>138</v>
      </c>
      <c r="P15" s="57"/>
      <c r="Q15" s="57"/>
      <c r="R15" s="57"/>
      <c r="S15" s="57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44" customFormat="1" ht="20.25" x14ac:dyDescent="0.3">
      <c r="A16" s="44" t="s">
        <v>139</v>
      </c>
      <c r="P16" s="57"/>
      <c r="Q16" s="57"/>
      <c r="R16" s="147"/>
      <c r="S16" s="57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44" customFormat="1" ht="20.25" x14ac:dyDescent="0.3">
      <c r="A17" s="44" t="s">
        <v>245</v>
      </c>
      <c r="P17" s="57"/>
      <c r="Q17" s="57"/>
      <c r="R17" s="147"/>
      <c r="S17" s="57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44" customFormat="1" ht="20.25" x14ac:dyDescent="0.3">
      <c r="A18" s="44" t="s">
        <v>140</v>
      </c>
      <c r="P18" s="57"/>
      <c r="Q18" s="57"/>
      <c r="R18" s="57"/>
      <c r="S18" s="57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44" customFormat="1" ht="20.25" x14ac:dyDescent="0.3">
      <c r="P19" s="57"/>
      <c r="Q19" s="57"/>
      <c r="R19" s="57"/>
      <c r="S19" s="57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43" customFormat="1" ht="20.25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3"/>
      <c r="Q20" s="55"/>
      <c r="R20" s="55"/>
      <c r="S20" s="55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1:60" x14ac:dyDescent="0.2">
      <c r="A21" s="47" t="s">
        <v>143</v>
      </c>
      <c r="B21" s="39"/>
      <c r="C21" s="3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60" s="41" customFormat="1" x14ac:dyDescent="0.2">
      <c r="A22" s="50" t="s">
        <v>144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4"/>
      <c r="Q22" s="54"/>
      <c r="R22" s="54"/>
      <c r="S22" s="54"/>
    </row>
    <row r="23" spans="1:60" x14ac:dyDescent="0.2">
      <c r="A23" s="39" t="s">
        <v>145</v>
      </c>
      <c r="B23" s="39"/>
      <c r="C23" s="3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formatCells="0" formatColumns="0" formatRows="0" insertColumns="0" insertRows="0" insertHyperlinks="0" deleteColumns="0" deleteRows="0" sort="0" autoFilter="0" pivotTables="0"/>
  <hyperlinks>
    <hyperlink ref="A11" location="'Financial Position Statement '!A1" display="Financial Position Statement"/>
    <hyperlink ref="A13" location="'Cash Flows Statement'!A1" display="Cash Flows Statement"/>
    <hyperlink ref="A14" location="'Характеристика активов'!A1" display="Характеристика активов"/>
    <hyperlink ref="A15" location="'Передача ээ'!A1" display="Передача электроэнергии"/>
    <hyperlink ref="A16" location="'Инвестиционная Программа'!A1" display="Инвестиционная Программа"/>
    <hyperlink ref="A18" location="'параметры RAB (НВВ до 2020)'!A1" display="►Параметры RAB"/>
    <hyperlink ref="A12" location="'P&amp;L'!A1" display="P&amp;L"/>
    <hyperlink ref="A22" r:id="rId1"/>
    <hyperlink ref="A10" location="Акции!A1" display="►Информация по акциям"/>
    <hyperlink ref="A9" location="'Уставный Капитал'!A1" display="►Уставный капитал"/>
    <hyperlink ref="A17" location="'Долгосрочная ИП 2016-2020'!A1" display="►Параметры долгосрочной Инвестиционной Программы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0" sqref="E60"/>
    </sheetView>
  </sheetViews>
  <sheetFormatPr defaultRowHeight="12.75" x14ac:dyDescent="0.2"/>
  <cols>
    <col min="1" max="1" width="33.5703125" style="7" customWidth="1"/>
    <col min="2" max="2" width="11" style="7" customWidth="1"/>
    <col min="3" max="3" width="9.7109375" style="7" bestFit="1" customWidth="1"/>
    <col min="4" max="5" width="9.85546875" style="7" customWidth="1"/>
    <col min="6" max="6" width="13" style="7" customWidth="1"/>
    <col min="7" max="8" width="9.140625" style="7"/>
    <col min="9" max="9" width="11.85546875" style="7" bestFit="1" customWidth="1"/>
    <col min="10" max="10" width="21.7109375" style="7" customWidth="1"/>
    <col min="11" max="37" width="9.140625" style="7"/>
    <col min="38" max="16384" width="9.140625" style="5"/>
  </cols>
  <sheetData>
    <row r="1" spans="1:38" s="338" customFormat="1" ht="30.75" customHeight="1" x14ac:dyDescent="0.25">
      <c r="A1" s="551" t="s">
        <v>280</v>
      </c>
      <c r="B1" s="551"/>
      <c r="C1" s="551"/>
      <c r="D1" s="551"/>
      <c r="E1" s="551"/>
      <c r="F1" s="551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8" s="339" customFormat="1" x14ac:dyDescent="0.2"/>
    <row r="3" spans="1:38" s="229" customFormat="1" x14ac:dyDescent="0.2">
      <c r="A3" s="340" t="s">
        <v>279</v>
      </c>
      <c r="B3" s="340"/>
      <c r="C3" s="340"/>
      <c r="D3" s="340"/>
      <c r="E3" s="340"/>
      <c r="F3" s="340"/>
    </row>
    <row r="4" spans="1:38" s="143" customFormat="1" ht="25.5" x14ac:dyDescent="0.2">
      <c r="A4" s="341"/>
      <c r="B4" s="342">
        <v>2017</v>
      </c>
      <c r="C4" s="342">
        <v>2018</v>
      </c>
      <c r="D4" s="342">
        <v>2019</v>
      </c>
      <c r="E4" s="342">
        <v>2020</v>
      </c>
      <c r="F4" s="343" t="s">
        <v>292</v>
      </c>
    </row>
    <row r="5" spans="1:38" s="7" customFormat="1" ht="25.5" x14ac:dyDescent="0.2">
      <c r="A5" s="394" t="s">
        <v>225</v>
      </c>
      <c r="B5" s="395">
        <f t="shared" ref="B5:F9" si="0">B19+B28</f>
        <v>32525.067340742604</v>
      </c>
      <c r="C5" s="395">
        <f t="shared" si="0"/>
        <v>25090.683664654265</v>
      </c>
      <c r="D5" s="395">
        <f t="shared" si="0"/>
        <v>24453.379771117878</v>
      </c>
      <c r="E5" s="395">
        <f t="shared" si="0"/>
        <v>20139.529343541606</v>
      </c>
      <c r="F5" s="395">
        <f t="shared" si="0"/>
        <v>102208.66012005636</v>
      </c>
    </row>
    <row r="6" spans="1:38" s="7" customFormat="1" x14ac:dyDescent="0.2">
      <c r="A6" s="227" t="s">
        <v>101</v>
      </c>
      <c r="B6" s="344">
        <f t="shared" si="0"/>
        <v>33335.67150153625</v>
      </c>
      <c r="C6" s="344">
        <f t="shared" si="0"/>
        <v>26095.774635249603</v>
      </c>
      <c r="D6" s="344">
        <f t="shared" si="0"/>
        <v>26156.224854014981</v>
      </c>
      <c r="E6" s="344">
        <f t="shared" si="0"/>
        <v>22143.91356509566</v>
      </c>
      <c r="F6" s="344">
        <f t="shared" si="0"/>
        <v>107731.58455589649</v>
      </c>
    </row>
    <row r="7" spans="1:38" s="7" customFormat="1" x14ac:dyDescent="0.2">
      <c r="A7" s="227" t="s">
        <v>102</v>
      </c>
      <c r="B7" s="344">
        <f t="shared" si="0"/>
        <v>35067.070145350139</v>
      </c>
      <c r="C7" s="344">
        <f t="shared" si="0"/>
        <v>33263.011300141872</v>
      </c>
      <c r="D7" s="344">
        <f t="shared" si="0"/>
        <v>30728.045828049042</v>
      </c>
      <c r="E7" s="344">
        <f t="shared" si="0"/>
        <v>25534.021655588407</v>
      </c>
      <c r="F7" s="344">
        <f t="shared" si="0"/>
        <v>124592.14892912946</v>
      </c>
    </row>
    <row r="8" spans="1:38" s="7" customFormat="1" x14ac:dyDescent="0.2">
      <c r="A8" s="227" t="s">
        <v>103</v>
      </c>
      <c r="B8" s="344">
        <f t="shared" si="0"/>
        <v>2615.0779113258614</v>
      </c>
      <c r="C8" s="344">
        <f t="shared" si="0"/>
        <v>2306.9452472238595</v>
      </c>
      <c r="D8" s="344">
        <f t="shared" si="0"/>
        <v>1891.5438010641283</v>
      </c>
      <c r="E8" s="344">
        <f t="shared" si="0"/>
        <v>1308.4279799808555</v>
      </c>
      <c r="F8" s="344">
        <f t="shared" si="0"/>
        <v>8121.994939594706</v>
      </c>
    </row>
    <row r="9" spans="1:38" s="143" customFormat="1" x14ac:dyDescent="0.2">
      <c r="A9" s="345" t="s">
        <v>104</v>
      </c>
      <c r="B9" s="346">
        <f t="shared" si="0"/>
        <v>3173.910353628934</v>
      </c>
      <c r="C9" s="346">
        <f t="shared" si="0"/>
        <v>2684.645077239159</v>
      </c>
      <c r="D9" s="346">
        <f t="shared" si="0"/>
        <v>1736.5129400625963</v>
      </c>
      <c r="E9" s="346">
        <f t="shared" si="0"/>
        <v>1645.4109687744312</v>
      </c>
      <c r="F9" s="346">
        <f t="shared" si="0"/>
        <v>9240.4793397051217</v>
      </c>
    </row>
    <row r="10" spans="1:38" s="7" customFormat="1" ht="25.5" x14ac:dyDescent="0.2">
      <c r="A10" s="394"/>
      <c r="B10" s="396">
        <v>2017</v>
      </c>
      <c r="C10" s="396">
        <v>2018</v>
      </c>
      <c r="D10" s="396">
        <v>2019</v>
      </c>
      <c r="E10" s="396">
        <v>2020</v>
      </c>
      <c r="F10" s="311" t="s">
        <v>281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7" customFormat="1" ht="28.5" customHeight="1" x14ac:dyDescent="0.2">
      <c r="A11" s="347" t="s">
        <v>226</v>
      </c>
      <c r="B11" s="344">
        <v>21243</v>
      </c>
      <c r="C11" s="344">
        <v>16334</v>
      </c>
      <c r="D11" s="344">
        <v>17300</v>
      </c>
      <c r="E11" s="344">
        <v>14248</v>
      </c>
      <c r="F11" s="344">
        <f>B11+C11+D11+E11</f>
        <v>69125</v>
      </c>
      <c r="I11" s="397"/>
      <c r="J11" s="398"/>
      <c r="K11" s="399"/>
      <c r="L11" s="400"/>
    </row>
    <row r="12" spans="1:38" s="7" customFormat="1" ht="25.5" x14ac:dyDescent="0.2">
      <c r="A12" s="348" t="s">
        <v>227</v>
      </c>
      <c r="B12" s="344">
        <v>8044</v>
      </c>
      <c r="C12" s="344">
        <v>9558</v>
      </c>
      <c r="D12" s="344">
        <v>9612</v>
      </c>
      <c r="E12" s="344">
        <v>11436</v>
      </c>
      <c r="F12" s="344">
        <f>B12+C12+D12+E12</f>
        <v>38650</v>
      </c>
      <c r="I12" s="397"/>
      <c r="J12" s="401"/>
      <c r="K12" s="399"/>
      <c r="L12" s="400"/>
    </row>
    <row r="13" spans="1:38" s="7" customFormat="1" x14ac:dyDescent="0.2">
      <c r="A13" s="348" t="s">
        <v>228</v>
      </c>
      <c r="B13" s="344">
        <v>13198</v>
      </c>
      <c r="C13" s="344">
        <v>6775</v>
      </c>
      <c r="D13" s="344">
        <v>7688</v>
      </c>
      <c r="E13" s="344">
        <v>2812</v>
      </c>
      <c r="F13" s="344">
        <f>B13+C13+D13+E13</f>
        <v>30473</v>
      </c>
      <c r="I13" s="397"/>
      <c r="J13" s="401"/>
      <c r="K13" s="399"/>
      <c r="L13" s="400"/>
    </row>
    <row r="14" spans="1:38" s="7" customFormat="1" x14ac:dyDescent="0.2">
      <c r="A14" s="350"/>
      <c r="B14" s="4"/>
      <c r="C14" s="4"/>
      <c r="D14" s="4"/>
      <c r="E14" s="4"/>
      <c r="F14" s="4"/>
    </row>
    <row r="15" spans="1:38" s="351" customFormat="1" x14ac:dyDescent="0.2">
      <c r="A15" s="351" t="s">
        <v>230</v>
      </c>
    </row>
    <row r="16" spans="1:38" s="352" customFormat="1" x14ac:dyDescent="0.2"/>
    <row r="17" spans="1:7" s="354" customFormat="1" x14ac:dyDescent="0.2">
      <c r="A17" s="353" t="s">
        <v>95</v>
      </c>
      <c r="B17" s="353"/>
      <c r="C17" s="353"/>
      <c r="D17" s="353"/>
      <c r="E17" s="353"/>
      <c r="F17" s="353"/>
    </row>
    <row r="18" spans="1:7" s="143" customFormat="1" ht="25.5" x14ac:dyDescent="0.2">
      <c r="A18" s="341"/>
      <c r="B18" s="342">
        <v>2017</v>
      </c>
      <c r="C18" s="342">
        <v>2018</v>
      </c>
      <c r="D18" s="342">
        <v>2019</v>
      </c>
      <c r="E18" s="342">
        <v>2020</v>
      </c>
      <c r="F18" s="343" t="s">
        <v>292</v>
      </c>
    </row>
    <row r="19" spans="1:7" s="7" customFormat="1" ht="25.5" x14ac:dyDescent="0.2">
      <c r="A19" s="227" t="s">
        <v>225</v>
      </c>
      <c r="B19" s="344">
        <v>21242.522728290107</v>
      </c>
      <c r="C19" s="344">
        <v>16333.780733098132</v>
      </c>
      <c r="D19" s="344">
        <v>17299.862361046697</v>
      </c>
      <c r="E19" s="344">
        <v>14247.980630839578</v>
      </c>
      <c r="F19" s="344">
        <f>+B19+C19+D19+E19</f>
        <v>69124.146453274516</v>
      </c>
    </row>
    <row r="20" spans="1:7" s="7" customFormat="1" x14ac:dyDescent="0.2">
      <c r="A20" s="227" t="s">
        <v>101</v>
      </c>
      <c r="B20" s="344">
        <v>21911.429664371459</v>
      </c>
      <c r="C20" s="344">
        <v>16537.266910491031</v>
      </c>
      <c r="D20" s="344">
        <v>18482.315029171034</v>
      </c>
      <c r="E20" s="344">
        <v>16004.674453662927</v>
      </c>
      <c r="F20" s="344">
        <f>+B20+C20+D20+E20</f>
        <v>72935.686057696454</v>
      </c>
    </row>
    <row r="21" spans="1:7" s="7" customFormat="1" x14ac:dyDescent="0.2">
      <c r="A21" s="227" t="s">
        <v>102</v>
      </c>
      <c r="B21" s="344">
        <v>21329.535741936576</v>
      </c>
      <c r="C21" s="344">
        <v>21445.800527746622</v>
      </c>
      <c r="D21" s="344">
        <v>20742.544159505516</v>
      </c>
      <c r="E21" s="344">
        <v>17863.912494512824</v>
      </c>
      <c r="F21" s="344">
        <f>B21+C21+D21+E21</f>
        <v>81381.792923701534</v>
      </c>
    </row>
    <row r="22" spans="1:7" s="7" customFormat="1" x14ac:dyDescent="0.2">
      <c r="A22" s="227" t="s">
        <v>103</v>
      </c>
      <c r="B22" s="344">
        <v>1538.9951819938233</v>
      </c>
      <c r="C22" s="344">
        <v>1503.4776996263706</v>
      </c>
      <c r="D22" s="344">
        <v>1456.0115513341066</v>
      </c>
      <c r="E22" s="344">
        <v>919.55179915333963</v>
      </c>
      <c r="F22" s="344">
        <f>B22+C22+D22+E22</f>
        <v>5418.0362321076409</v>
      </c>
    </row>
    <row r="23" spans="1:7" s="143" customFormat="1" x14ac:dyDescent="0.2">
      <c r="A23" s="345" t="s">
        <v>104</v>
      </c>
      <c r="B23" s="346">
        <v>1099.397085502751</v>
      </c>
      <c r="C23" s="346">
        <v>827.20261306697375</v>
      </c>
      <c r="D23" s="346">
        <v>830.12496361047693</v>
      </c>
      <c r="E23" s="346">
        <v>1002.4030354410978</v>
      </c>
      <c r="F23" s="346">
        <f>B23+C23+D23+E23</f>
        <v>3759.1276976212994</v>
      </c>
      <c r="G23" s="356"/>
    </row>
    <row r="24" spans="1:7" s="7" customFormat="1" x14ac:dyDescent="0.2">
      <c r="A24" s="227"/>
      <c r="B24" s="357"/>
      <c r="C24" s="357"/>
      <c r="D24" s="133"/>
      <c r="E24" s="133"/>
      <c r="F24" s="133"/>
    </row>
    <row r="25" spans="1:7" s="7" customFormat="1" x14ac:dyDescent="0.2">
      <c r="A25" s="227"/>
      <c r="B25" s="133"/>
      <c r="C25" s="133"/>
      <c r="D25" s="133"/>
      <c r="E25" s="133"/>
    </row>
    <row r="26" spans="1:7" s="358" customFormat="1" x14ac:dyDescent="0.2">
      <c r="A26" s="358" t="s">
        <v>88</v>
      </c>
    </row>
    <row r="27" spans="1:7" s="143" customFormat="1" ht="25.5" x14ac:dyDescent="0.2">
      <c r="A27" s="341"/>
      <c r="B27" s="342">
        <v>2017</v>
      </c>
      <c r="C27" s="342">
        <v>2018</v>
      </c>
      <c r="D27" s="342">
        <v>2019</v>
      </c>
      <c r="E27" s="342">
        <v>2020</v>
      </c>
      <c r="F27" s="343" t="s">
        <v>292</v>
      </c>
    </row>
    <row r="28" spans="1:7" s="7" customFormat="1" ht="25.5" x14ac:dyDescent="0.2">
      <c r="A28" s="227" t="s">
        <v>225</v>
      </c>
      <c r="B28" s="344">
        <v>11282.544612452497</v>
      </c>
      <c r="C28" s="344">
        <v>8756.9029315561311</v>
      </c>
      <c r="D28" s="344">
        <v>7153.5174100711802</v>
      </c>
      <c r="E28" s="344">
        <v>5891.5487127020269</v>
      </c>
      <c r="F28" s="344">
        <f>+B28+C28+D28+E28</f>
        <v>33084.513666781837</v>
      </c>
    </row>
    <row r="29" spans="1:7" s="7" customFormat="1" x14ac:dyDescent="0.2">
      <c r="A29" s="227" t="s">
        <v>101</v>
      </c>
      <c r="B29" s="344">
        <v>11424.241837164793</v>
      </c>
      <c r="C29" s="344">
        <v>9558.5077247585705</v>
      </c>
      <c r="D29" s="344">
        <v>7673.9098248439468</v>
      </c>
      <c r="E29" s="344">
        <v>6139.2391114327329</v>
      </c>
      <c r="F29" s="344">
        <f>B29+C29+D29+E29</f>
        <v>34795.89849820004</v>
      </c>
    </row>
    <row r="30" spans="1:7" s="7" customFormat="1" x14ac:dyDescent="0.2">
      <c r="A30" s="227" t="s">
        <v>102</v>
      </c>
      <c r="B30" s="344">
        <v>13737.534403413561</v>
      </c>
      <c r="C30" s="344">
        <v>11817.210772395249</v>
      </c>
      <c r="D30" s="344">
        <v>9985.5016685435276</v>
      </c>
      <c r="E30" s="344">
        <v>7670.109161075583</v>
      </c>
      <c r="F30" s="344">
        <f>B30+C30+D30+E30</f>
        <v>43210.356005427922</v>
      </c>
    </row>
    <row r="31" spans="1:7" s="7" customFormat="1" x14ac:dyDescent="0.2">
      <c r="A31" s="227" t="s">
        <v>103</v>
      </c>
      <c r="B31" s="344">
        <v>1076.0827293320383</v>
      </c>
      <c r="C31" s="344">
        <v>803.46754759748899</v>
      </c>
      <c r="D31" s="344">
        <v>435.53224973002159</v>
      </c>
      <c r="E31" s="344">
        <v>388.87618082751578</v>
      </c>
      <c r="F31" s="344">
        <f>B31+C31+D31+E31</f>
        <v>2703.9587074870647</v>
      </c>
    </row>
    <row r="32" spans="1:7" s="143" customFormat="1" x14ac:dyDescent="0.2">
      <c r="A32" s="345" t="s">
        <v>104</v>
      </c>
      <c r="B32" s="355">
        <v>2074.513268126183</v>
      </c>
      <c r="C32" s="355">
        <v>1857.4424641721855</v>
      </c>
      <c r="D32" s="355">
        <v>906.38797645211935</v>
      </c>
      <c r="E32" s="355">
        <v>643.00793333333343</v>
      </c>
      <c r="F32" s="346">
        <f>B32+C32+D32+E32</f>
        <v>5481.3516420838214</v>
      </c>
    </row>
    <row r="33" spans="1:6" s="7" customFormat="1" x14ac:dyDescent="0.2">
      <c r="A33" s="227"/>
      <c r="B33" s="359"/>
      <c r="C33" s="359"/>
      <c r="F33" s="285"/>
    </row>
    <row r="34" spans="1:6" s="7" customFormat="1" hidden="1" x14ac:dyDescent="0.2">
      <c r="A34" s="227"/>
      <c r="B34" s="359"/>
      <c r="C34" s="359"/>
      <c r="F34" s="285"/>
    </row>
    <row r="35" spans="1:6" s="229" customFormat="1" hidden="1" x14ac:dyDescent="0.2">
      <c r="A35" s="360" t="s">
        <v>231</v>
      </c>
      <c r="B35" s="361"/>
      <c r="C35" s="361"/>
      <c r="D35" s="361"/>
      <c r="E35" s="361"/>
    </row>
    <row r="36" spans="1:6" s="10" customFormat="1" ht="26.25" hidden="1" thickBot="1" x14ac:dyDescent="0.25">
      <c r="A36" s="362"/>
      <c r="B36" s="363">
        <v>2017</v>
      </c>
      <c r="C36" s="363">
        <v>2018</v>
      </c>
      <c r="D36" s="363">
        <v>2019</v>
      </c>
      <c r="E36" s="363">
        <v>2020</v>
      </c>
      <c r="F36" s="174" t="s">
        <v>281</v>
      </c>
    </row>
    <row r="37" spans="1:6" s="7" customFormat="1" hidden="1" x14ac:dyDescent="0.2">
      <c r="A37" s="364" t="s">
        <v>232</v>
      </c>
      <c r="B37" s="402">
        <f>B38+B39+B40</f>
        <v>16533.112600469045</v>
      </c>
      <c r="C37" s="402">
        <f>C38+C39+C40</f>
        <v>20676.451792137177</v>
      </c>
      <c r="D37" s="402">
        <f>D38+D39+D40</f>
        <v>23379.246166805868</v>
      </c>
      <c r="E37" s="402">
        <f>E38+E39+E40</f>
        <v>21908.90632036531</v>
      </c>
      <c r="F37" s="344" t="e">
        <f>#REF!+B37+C37+D37+E37</f>
        <v>#REF!</v>
      </c>
    </row>
    <row r="38" spans="1:6" s="7" customFormat="1" hidden="1" x14ac:dyDescent="0.2">
      <c r="A38" s="364" t="s">
        <v>233</v>
      </c>
      <c r="B38" s="402">
        <v>13439.390904536844</v>
      </c>
      <c r="C38" s="402">
        <v>12478.882257924361</v>
      </c>
      <c r="D38" s="402">
        <v>14503.547117829248</v>
      </c>
      <c r="E38" s="402">
        <v>15544.584111337048</v>
      </c>
      <c r="F38" s="344" t="e">
        <f>#REF!+B38+C38+D38+E38</f>
        <v>#REF!</v>
      </c>
    </row>
    <row r="39" spans="1:6" s="7" customFormat="1" hidden="1" x14ac:dyDescent="0.2">
      <c r="A39" s="364" t="s">
        <v>234</v>
      </c>
      <c r="B39" s="402">
        <v>4.932852619785374E-14</v>
      </c>
      <c r="C39" s="402">
        <v>4837.3150408738356</v>
      </c>
      <c r="D39" s="402">
        <v>8824.4472035866183</v>
      </c>
      <c r="E39" s="402">
        <v>5479.9742528263741</v>
      </c>
      <c r="F39" s="344" t="e">
        <f>#REF!+B39+C39+D39+E39</f>
        <v>#REF!</v>
      </c>
    </row>
    <row r="40" spans="1:6" s="7" customFormat="1" hidden="1" x14ac:dyDescent="0.2">
      <c r="A40" s="364" t="s">
        <v>235</v>
      </c>
      <c r="B40" s="402">
        <f>3003.7216959322+90</f>
        <v>3093.7216959322</v>
      </c>
      <c r="C40" s="402">
        <f>2940.25449333898+420</f>
        <v>3360.25449333898</v>
      </c>
      <c r="D40" s="402">
        <v>51.25184539</v>
      </c>
      <c r="E40" s="402">
        <v>884.34795620188743</v>
      </c>
      <c r="F40" s="344" t="e">
        <f>#REF!+B40+C40+D40+E40</f>
        <v>#REF!</v>
      </c>
    </row>
    <row r="41" spans="1:6" s="7" customFormat="1" hidden="1" x14ac:dyDescent="0.2">
      <c r="A41" s="365" t="s">
        <v>236</v>
      </c>
      <c r="B41" s="403">
        <v>35</v>
      </c>
      <c r="C41" s="402">
        <v>452.53500000000003</v>
      </c>
      <c r="D41" s="403">
        <v>0</v>
      </c>
      <c r="E41" s="403">
        <v>0</v>
      </c>
      <c r="F41" s="344" t="e">
        <f>#REF!+B41+C41+D41+E41</f>
        <v>#REF!</v>
      </c>
    </row>
    <row r="42" spans="1:6" s="7" customFormat="1" hidden="1" x14ac:dyDescent="0.2">
      <c r="A42" s="365" t="s">
        <v>237</v>
      </c>
      <c r="B42" s="402">
        <v>0</v>
      </c>
      <c r="C42" s="402">
        <v>0</v>
      </c>
      <c r="D42" s="402">
        <v>0</v>
      </c>
      <c r="E42" s="402"/>
      <c r="F42" s="344" t="e">
        <f>#REF!+B42+C42+D42+E42</f>
        <v>#REF!</v>
      </c>
    </row>
    <row r="43" spans="1:6" s="7" customFormat="1" hidden="1" x14ac:dyDescent="0.2">
      <c r="A43" s="365" t="s">
        <v>238</v>
      </c>
      <c r="B43" s="403">
        <v>0</v>
      </c>
      <c r="C43" s="403">
        <v>0</v>
      </c>
      <c r="D43" s="403">
        <v>0</v>
      </c>
      <c r="E43" s="403"/>
      <c r="F43" s="344" t="e">
        <f>#REF!+B43+C43+D43+E43</f>
        <v>#REF!</v>
      </c>
    </row>
    <row r="44" spans="1:6" s="7" customFormat="1" hidden="1" x14ac:dyDescent="0.2">
      <c r="A44" s="365" t="s">
        <v>229</v>
      </c>
      <c r="B44" s="402">
        <f>B40-B41</f>
        <v>3058.7216959322</v>
      </c>
      <c r="C44" s="402">
        <f>C40-C41</f>
        <v>2907.7194933389801</v>
      </c>
      <c r="D44" s="402">
        <v>51.25184539</v>
      </c>
      <c r="E44" s="402">
        <f>E40-E41</f>
        <v>884.34795620188743</v>
      </c>
      <c r="F44" s="344" t="e">
        <f>#REF!+B44+C44+D44+E44</f>
        <v>#REF!</v>
      </c>
    </row>
    <row r="45" spans="1:6" s="7" customFormat="1" hidden="1" x14ac:dyDescent="0.2">
      <c r="A45" s="364" t="s">
        <v>239</v>
      </c>
      <c r="B45" s="402">
        <v>5854.5121223430724</v>
      </c>
      <c r="C45" s="402">
        <v>4516.323059637768</v>
      </c>
      <c r="D45" s="402">
        <v>4401.6082688012166</v>
      </c>
      <c r="E45" s="402">
        <v>3625.1153358374877</v>
      </c>
      <c r="F45" s="344" t="e">
        <f>#REF!+B45+C45+D45+E45</f>
        <v>#REF!</v>
      </c>
    </row>
    <row r="46" spans="1:6" s="7" customFormat="1" hidden="1" x14ac:dyDescent="0.2">
      <c r="A46" s="364" t="s">
        <v>240</v>
      </c>
      <c r="B46" s="402">
        <f>B47+B48+B49</f>
        <v>12679.445806996308</v>
      </c>
      <c r="C46" s="402">
        <f>C47+C48+C49</f>
        <v>8070.2364484266182</v>
      </c>
      <c r="D46" s="402">
        <f>D47+D48+D49</f>
        <v>2947.1913928833992</v>
      </c>
      <c r="E46" s="402"/>
      <c r="F46" s="344" t="e">
        <f>#REF!+B46+C46+D46+E46</f>
        <v>#REF!</v>
      </c>
    </row>
    <row r="47" spans="1:6" s="7" customFormat="1" hidden="1" x14ac:dyDescent="0.2">
      <c r="A47" s="364" t="s">
        <v>241</v>
      </c>
      <c r="B47" s="402">
        <v>4733.1160379999992</v>
      </c>
      <c r="C47" s="402">
        <v>5532.8292450000017</v>
      </c>
      <c r="D47" s="402">
        <v>1443.575188</v>
      </c>
      <c r="E47" s="402">
        <v>0</v>
      </c>
      <c r="F47" s="344" t="e">
        <f>#REF!+B47+C47+D47+E47</f>
        <v>#REF!</v>
      </c>
    </row>
    <row r="48" spans="1:6" s="7" customFormat="1" hidden="1" x14ac:dyDescent="0.2">
      <c r="A48" s="364" t="s">
        <v>242</v>
      </c>
      <c r="B48" s="402">
        <v>7946.3297789963081</v>
      </c>
      <c r="C48" s="402">
        <v>2537.4072034266169</v>
      </c>
      <c r="D48" s="402">
        <v>1503.6162048833992</v>
      </c>
      <c r="E48" s="402">
        <v>884.34795620188743</v>
      </c>
      <c r="F48" s="344" t="e">
        <f>#REF!+B48+C48+D48+E48</f>
        <v>#REF!</v>
      </c>
    </row>
    <row r="49" spans="1:6" s="7" customFormat="1" hidden="1" x14ac:dyDescent="0.2">
      <c r="A49" s="364" t="s">
        <v>243</v>
      </c>
      <c r="B49" s="402">
        <v>-9.999999991123331E-6</v>
      </c>
      <c r="C49" s="402">
        <v>0</v>
      </c>
      <c r="D49" s="402">
        <v>0</v>
      </c>
      <c r="E49" s="402">
        <v>0</v>
      </c>
      <c r="F49" s="344" t="e">
        <f>#REF!+B49+C49+D49+E49</f>
        <v>#REF!</v>
      </c>
    </row>
    <row r="50" spans="1:6" s="10" customFormat="1" ht="13.5" hidden="1" thickBot="1" x14ac:dyDescent="0.25">
      <c r="A50" s="366" t="s">
        <v>244</v>
      </c>
      <c r="B50" s="404">
        <f>B37+B45+B46</f>
        <v>35067.070529808421</v>
      </c>
      <c r="C50" s="404">
        <f>C37+C45+C46</f>
        <v>33263.011300201564</v>
      </c>
      <c r="D50" s="404">
        <f>D37+D45+D46</f>
        <v>30728.045828490485</v>
      </c>
      <c r="E50" s="404">
        <f>E37+E45+E46</f>
        <v>25534.021656202796</v>
      </c>
      <c r="F50" s="349" t="e">
        <f>#REF!+B50+C50+D50+E50</f>
        <v>#REF!</v>
      </c>
    </row>
    <row r="51" spans="1:6" s="7" customFormat="1" hidden="1" x14ac:dyDescent="0.2">
      <c r="A51" s="227"/>
      <c r="B51" s="359"/>
      <c r="C51" s="359"/>
      <c r="D51" s="359"/>
      <c r="E51" s="359"/>
      <c r="F51" s="359"/>
    </row>
    <row r="52" spans="1:6" hidden="1" x14ac:dyDescent="0.2"/>
    <row r="53" spans="1:6" hidden="1" x14ac:dyDescent="0.2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6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6"/>
  <sheetViews>
    <sheetView topLeftCell="B1" zoomScale="70" zoomScaleNormal="70" zoomScaleSheetLayoutView="85" workbookViewId="0">
      <selection activeCell="I24" sqref="I24"/>
    </sheetView>
  </sheetViews>
  <sheetFormatPr defaultRowHeight="15" outlineLevelCol="1" x14ac:dyDescent="0.25"/>
  <cols>
    <col min="1" max="1" width="0" style="421" hidden="1" customWidth="1"/>
    <col min="2" max="2" width="41" style="421" customWidth="1"/>
    <col min="3" max="3" width="9.7109375" style="422" customWidth="1"/>
    <col min="4" max="7" width="7.85546875" style="421" hidden="1" customWidth="1" outlineLevel="1"/>
    <col min="8" max="8" width="8.7109375" style="421" bestFit="1" customWidth="1" collapsed="1"/>
    <col min="9" max="12" width="8.7109375" style="421" bestFit="1" customWidth="1"/>
    <col min="13" max="16" width="8.7109375" style="421" hidden="1" customWidth="1" outlineLevel="1"/>
    <col min="17" max="17" width="8.7109375" style="421" bestFit="1" customWidth="1" collapsed="1"/>
    <col min="18" max="21" width="8.7109375" style="421" bestFit="1" customWidth="1"/>
    <col min="22" max="25" width="8.7109375" style="421" hidden="1" customWidth="1" outlineLevel="1"/>
    <col min="26" max="26" width="8.7109375" style="421" bestFit="1" customWidth="1" collapsed="1"/>
    <col min="27" max="27" width="9.5703125" style="421" bestFit="1" customWidth="1"/>
    <col min="28" max="29" width="8.7109375" style="421" bestFit="1" customWidth="1"/>
    <col min="30" max="30" width="9.7109375" style="421" customWidth="1"/>
    <col min="31" max="31" width="12.140625" style="421" bestFit="1" customWidth="1"/>
    <col min="32" max="32" width="11.85546875" style="421" customWidth="1"/>
    <col min="33" max="35" width="12.140625" style="421" bestFit="1" customWidth="1"/>
    <col min="36" max="36" width="13.140625" style="421" bestFit="1" customWidth="1"/>
    <col min="37" max="262" width="9.140625" style="421"/>
    <col min="263" max="263" width="0" style="421" hidden="1" customWidth="1"/>
    <col min="264" max="264" width="41" style="421" customWidth="1"/>
    <col min="265" max="265" width="11" style="421" customWidth="1"/>
    <col min="266" max="271" width="10.140625" style="421" customWidth="1"/>
    <col min="272" max="277" width="9.85546875" style="421" customWidth="1"/>
    <col min="278" max="281" width="9.7109375" style="421" customWidth="1"/>
    <col min="282" max="283" width="9.140625" style="421" customWidth="1"/>
    <col min="284" max="518" width="9.140625" style="421"/>
    <col min="519" max="519" width="0" style="421" hidden="1" customWidth="1"/>
    <col min="520" max="520" width="41" style="421" customWidth="1"/>
    <col min="521" max="521" width="11" style="421" customWidth="1"/>
    <col min="522" max="527" width="10.140625" style="421" customWidth="1"/>
    <col min="528" max="533" width="9.85546875" style="421" customWidth="1"/>
    <col min="534" max="537" width="9.7109375" style="421" customWidth="1"/>
    <col min="538" max="539" width="9.140625" style="421" customWidth="1"/>
    <col min="540" max="774" width="9.140625" style="421"/>
    <col min="775" max="775" width="0" style="421" hidden="1" customWidth="1"/>
    <col min="776" max="776" width="41" style="421" customWidth="1"/>
    <col min="777" max="777" width="11" style="421" customWidth="1"/>
    <col min="778" max="783" width="10.140625" style="421" customWidth="1"/>
    <col min="784" max="789" width="9.85546875" style="421" customWidth="1"/>
    <col min="790" max="793" width="9.7109375" style="421" customWidth="1"/>
    <col min="794" max="795" width="9.140625" style="421" customWidth="1"/>
    <col min="796" max="1030" width="9.140625" style="421"/>
    <col min="1031" max="1031" width="0" style="421" hidden="1" customWidth="1"/>
    <col min="1032" max="1032" width="41" style="421" customWidth="1"/>
    <col min="1033" max="1033" width="11" style="421" customWidth="1"/>
    <col min="1034" max="1039" width="10.140625" style="421" customWidth="1"/>
    <col min="1040" max="1045" width="9.85546875" style="421" customWidth="1"/>
    <col min="1046" max="1049" width="9.7109375" style="421" customWidth="1"/>
    <col min="1050" max="1051" width="9.140625" style="421" customWidth="1"/>
    <col min="1052" max="1286" width="9.140625" style="421"/>
    <col min="1287" max="1287" width="0" style="421" hidden="1" customWidth="1"/>
    <col min="1288" max="1288" width="41" style="421" customWidth="1"/>
    <col min="1289" max="1289" width="11" style="421" customWidth="1"/>
    <col min="1290" max="1295" width="10.140625" style="421" customWidth="1"/>
    <col min="1296" max="1301" width="9.85546875" style="421" customWidth="1"/>
    <col min="1302" max="1305" width="9.7109375" style="421" customWidth="1"/>
    <col min="1306" max="1307" width="9.140625" style="421" customWidth="1"/>
    <col min="1308" max="1542" width="9.140625" style="421"/>
    <col min="1543" max="1543" width="0" style="421" hidden="1" customWidth="1"/>
    <col min="1544" max="1544" width="41" style="421" customWidth="1"/>
    <col min="1545" max="1545" width="11" style="421" customWidth="1"/>
    <col min="1546" max="1551" width="10.140625" style="421" customWidth="1"/>
    <col min="1552" max="1557" width="9.85546875" style="421" customWidth="1"/>
    <col min="1558" max="1561" width="9.7109375" style="421" customWidth="1"/>
    <col min="1562" max="1563" width="9.140625" style="421" customWidth="1"/>
    <col min="1564" max="1798" width="9.140625" style="421"/>
    <col min="1799" max="1799" width="0" style="421" hidden="1" customWidth="1"/>
    <col min="1800" max="1800" width="41" style="421" customWidth="1"/>
    <col min="1801" max="1801" width="11" style="421" customWidth="1"/>
    <col min="1802" max="1807" width="10.140625" style="421" customWidth="1"/>
    <col min="1808" max="1813" width="9.85546875" style="421" customWidth="1"/>
    <col min="1814" max="1817" width="9.7109375" style="421" customWidth="1"/>
    <col min="1818" max="1819" width="9.140625" style="421" customWidth="1"/>
    <col min="1820" max="2054" width="9.140625" style="421"/>
    <col min="2055" max="2055" width="0" style="421" hidden="1" customWidth="1"/>
    <col min="2056" max="2056" width="41" style="421" customWidth="1"/>
    <col min="2057" max="2057" width="11" style="421" customWidth="1"/>
    <col min="2058" max="2063" width="10.140625" style="421" customWidth="1"/>
    <col min="2064" max="2069" width="9.85546875" style="421" customWidth="1"/>
    <col min="2070" max="2073" width="9.7109375" style="421" customWidth="1"/>
    <col min="2074" max="2075" width="9.140625" style="421" customWidth="1"/>
    <col min="2076" max="2310" width="9.140625" style="421"/>
    <col min="2311" max="2311" width="0" style="421" hidden="1" customWidth="1"/>
    <col min="2312" max="2312" width="41" style="421" customWidth="1"/>
    <col min="2313" max="2313" width="11" style="421" customWidth="1"/>
    <col min="2314" max="2319" width="10.140625" style="421" customWidth="1"/>
    <col min="2320" max="2325" width="9.85546875" style="421" customWidth="1"/>
    <col min="2326" max="2329" width="9.7109375" style="421" customWidth="1"/>
    <col min="2330" max="2331" width="9.140625" style="421" customWidth="1"/>
    <col min="2332" max="2566" width="9.140625" style="421"/>
    <col min="2567" max="2567" width="0" style="421" hidden="1" customWidth="1"/>
    <col min="2568" max="2568" width="41" style="421" customWidth="1"/>
    <col min="2569" max="2569" width="11" style="421" customWidth="1"/>
    <col min="2570" max="2575" width="10.140625" style="421" customWidth="1"/>
    <col min="2576" max="2581" width="9.85546875" style="421" customWidth="1"/>
    <col min="2582" max="2585" width="9.7109375" style="421" customWidth="1"/>
    <col min="2586" max="2587" width="9.140625" style="421" customWidth="1"/>
    <col min="2588" max="2822" width="9.140625" style="421"/>
    <col min="2823" max="2823" width="0" style="421" hidden="1" customWidth="1"/>
    <col min="2824" max="2824" width="41" style="421" customWidth="1"/>
    <col min="2825" max="2825" width="11" style="421" customWidth="1"/>
    <col min="2826" max="2831" width="10.140625" style="421" customWidth="1"/>
    <col min="2832" max="2837" width="9.85546875" style="421" customWidth="1"/>
    <col min="2838" max="2841" width="9.7109375" style="421" customWidth="1"/>
    <col min="2842" max="2843" width="9.140625" style="421" customWidth="1"/>
    <col min="2844" max="3078" width="9.140625" style="421"/>
    <col min="3079" max="3079" width="0" style="421" hidden="1" customWidth="1"/>
    <col min="3080" max="3080" width="41" style="421" customWidth="1"/>
    <col min="3081" max="3081" width="11" style="421" customWidth="1"/>
    <col min="3082" max="3087" width="10.140625" style="421" customWidth="1"/>
    <col min="3088" max="3093" width="9.85546875" style="421" customWidth="1"/>
    <col min="3094" max="3097" width="9.7109375" style="421" customWidth="1"/>
    <col min="3098" max="3099" width="9.140625" style="421" customWidth="1"/>
    <col min="3100" max="3334" width="9.140625" style="421"/>
    <col min="3335" max="3335" width="0" style="421" hidden="1" customWidth="1"/>
    <col min="3336" max="3336" width="41" style="421" customWidth="1"/>
    <col min="3337" max="3337" width="11" style="421" customWidth="1"/>
    <col min="3338" max="3343" width="10.140625" style="421" customWidth="1"/>
    <col min="3344" max="3349" width="9.85546875" style="421" customWidth="1"/>
    <col min="3350" max="3353" width="9.7109375" style="421" customWidth="1"/>
    <col min="3354" max="3355" width="9.140625" style="421" customWidth="1"/>
    <col min="3356" max="3590" width="9.140625" style="421"/>
    <col min="3591" max="3591" width="0" style="421" hidden="1" customWidth="1"/>
    <col min="3592" max="3592" width="41" style="421" customWidth="1"/>
    <col min="3593" max="3593" width="11" style="421" customWidth="1"/>
    <col min="3594" max="3599" width="10.140625" style="421" customWidth="1"/>
    <col min="3600" max="3605" width="9.85546875" style="421" customWidth="1"/>
    <col min="3606" max="3609" width="9.7109375" style="421" customWidth="1"/>
    <col min="3610" max="3611" width="9.140625" style="421" customWidth="1"/>
    <col min="3612" max="3846" width="9.140625" style="421"/>
    <col min="3847" max="3847" width="0" style="421" hidden="1" customWidth="1"/>
    <col min="3848" max="3848" width="41" style="421" customWidth="1"/>
    <col min="3849" max="3849" width="11" style="421" customWidth="1"/>
    <col min="3850" max="3855" width="10.140625" style="421" customWidth="1"/>
    <col min="3856" max="3861" width="9.85546875" style="421" customWidth="1"/>
    <col min="3862" max="3865" width="9.7109375" style="421" customWidth="1"/>
    <col min="3866" max="3867" width="9.140625" style="421" customWidth="1"/>
    <col min="3868" max="4102" width="9.140625" style="421"/>
    <col min="4103" max="4103" width="0" style="421" hidden="1" customWidth="1"/>
    <col min="4104" max="4104" width="41" style="421" customWidth="1"/>
    <col min="4105" max="4105" width="11" style="421" customWidth="1"/>
    <col min="4106" max="4111" width="10.140625" style="421" customWidth="1"/>
    <col min="4112" max="4117" width="9.85546875" style="421" customWidth="1"/>
    <col min="4118" max="4121" width="9.7109375" style="421" customWidth="1"/>
    <col min="4122" max="4123" width="9.140625" style="421" customWidth="1"/>
    <col min="4124" max="4358" width="9.140625" style="421"/>
    <col min="4359" max="4359" width="0" style="421" hidden="1" customWidth="1"/>
    <col min="4360" max="4360" width="41" style="421" customWidth="1"/>
    <col min="4361" max="4361" width="11" style="421" customWidth="1"/>
    <col min="4362" max="4367" width="10.140625" style="421" customWidth="1"/>
    <col min="4368" max="4373" width="9.85546875" style="421" customWidth="1"/>
    <col min="4374" max="4377" width="9.7109375" style="421" customWidth="1"/>
    <col min="4378" max="4379" width="9.140625" style="421" customWidth="1"/>
    <col min="4380" max="4614" width="9.140625" style="421"/>
    <col min="4615" max="4615" width="0" style="421" hidden="1" customWidth="1"/>
    <col min="4616" max="4616" width="41" style="421" customWidth="1"/>
    <col min="4617" max="4617" width="11" style="421" customWidth="1"/>
    <col min="4618" max="4623" width="10.140625" style="421" customWidth="1"/>
    <col min="4624" max="4629" width="9.85546875" style="421" customWidth="1"/>
    <col min="4630" max="4633" width="9.7109375" style="421" customWidth="1"/>
    <col min="4634" max="4635" width="9.140625" style="421" customWidth="1"/>
    <col min="4636" max="4870" width="9.140625" style="421"/>
    <col min="4871" max="4871" width="0" style="421" hidden="1" customWidth="1"/>
    <col min="4872" max="4872" width="41" style="421" customWidth="1"/>
    <col min="4873" max="4873" width="11" style="421" customWidth="1"/>
    <col min="4874" max="4879" width="10.140625" style="421" customWidth="1"/>
    <col min="4880" max="4885" width="9.85546875" style="421" customWidth="1"/>
    <col min="4886" max="4889" width="9.7109375" style="421" customWidth="1"/>
    <col min="4890" max="4891" width="9.140625" style="421" customWidth="1"/>
    <col min="4892" max="5126" width="9.140625" style="421"/>
    <col min="5127" max="5127" width="0" style="421" hidden="1" customWidth="1"/>
    <col min="5128" max="5128" width="41" style="421" customWidth="1"/>
    <col min="5129" max="5129" width="11" style="421" customWidth="1"/>
    <col min="5130" max="5135" width="10.140625" style="421" customWidth="1"/>
    <col min="5136" max="5141" width="9.85546875" style="421" customWidth="1"/>
    <col min="5142" max="5145" width="9.7109375" style="421" customWidth="1"/>
    <col min="5146" max="5147" width="9.140625" style="421" customWidth="1"/>
    <col min="5148" max="5382" width="9.140625" style="421"/>
    <col min="5383" max="5383" width="0" style="421" hidden="1" customWidth="1"/>
    <col min="5384" max="5384" width="41" style="421" customWidth="1"/>
    <col min="5385" max="5385" width="11" style="421" customWidth="1"/>
    <col min="5386" max="5391" width="10.140625" style="421" customWidth="1"/>
    <col min="5392" max="5397" width="9.85546875" style="421" customWidth="1"/>
    <col min="5398" max="5401" width="9.7109375" style="421" customWidth="1"/>
    <col min="5402" max="5403" width="9.140625" style="421" customWidth="1"/>
    <col min="5404" max="5638" width="9.140625" style="421"/>
    <col min="5639" max="5639" width="0" style="421" hidden="1" customWidth="1"/>
    <col min="5640" max="5640" width="41" style="421" customWidth="1"/>
    <col min="5641" max="5641" width="11" style="421" customWidth="1"/>
    <col min="5642" max="5647" width="10.140625" style="421" customWidth="1"/>
    <col min="5648" max="5653" width="9.85546875" style="421" customWidth="1"/>
    <col min="5654" max="5657" width="9.7109375" style="421" customWidth="1"/>
    <col min="5658" max="5659" width="9.140625" style="421" customWidth="1"/>
    <col min="5660" max="5894" width="9.140625" style="421"/>
    <col min="5895" max="5895" width="0" style="421" hidden="1" customWidth="1"/>
    <col min="5896" max="5896" width="41" style="421" customWidth="1"/>
    <col min="5897" max="5897" width="11" style="421" customWidth="1"/>
    <col min="5898" max="5903" width="10.140625" style="421" customWidth="1"/>
    <col min="5904" max="5909" width="9.85546875" style="421" customWidth="1"/>
    <col min="5910" max="5913" width="9.7109375" style="421" customWidth="1"/>
    <col min="5914" max="5915" width="9.140625" style="421" customWidth="1"/>
    <col min="5916" max="6150" width="9.140625" style="421"/>
    <col min="6151" max="6151" width="0" style="421" hidden="1" customWidth="1"/>
    <col min="6152" max="6152" width="41" style="421" customWidth="1"/>
    <col min="6153" max="6153" width="11" style="421" customWidth="1"/>
    <col min="6154" max="6159" width="10.140625" style="421" customWidth="1"/>
    <col min="6160" max="6165" width="9.85546875" style="421" customWidth="1"/>
    <col min="6166" max="6169" width="9.7109375" style="421" customWidth="1"/>
    <col min="6170" max="6171" width="9.140625" style="421" customWidth="1"/>
    <col min="6172" max="6406" width="9.140625" style="421"/>
    <col min="6407" max="6407" width="0" style="421" hidden="1" customWidth="1"/>
    <col min="6408" max="6408" width="41" style="421" customWidth="1"/>
    <col min="6409" max="6409" width="11" style="421" customWidth="1"/>
    <col min="6410" max="6415" width="10.140625" style="421" customWidth="1"/>
    <col min="6416" max="6421" width="9.85546875" style="421" customWidth="1"/>
    <col min="6422" max="6425" width="9.7109375" style="421" customWidth="1"/>
    <col min="6426" max="6427" width="9.140625" style="421" customWidth="1"/>
    <col min="6428" max="6662" width="9.140625" style="421"/>
    <col min="6663" max="6663" width="0" style="421" hidden="1" customWidth="1"/>
    <col min="6664" max="6664" width="41" style="421" customWidth="1"/>
    <col min="6665" max="6665" width="11" style="421" customWidth="1"/>
    <col min="6666" max="6671" width="10.140625" style="421" customWidth="1"/>
    <col min="6672" max="6677" width="9.85546875" style="421" customWidth="1"/>
    <col min="6678" max="6681" width="9.7109375" style="421" customWidth="1"/>
    <col min="6682" max="6683" width="9.140625" style="421" customWidth="1"/>
    <col min="6684" max="6918" width="9.140625" style="421"/>
    <col min="6919" max="6919" width="0" style="421" hidden="1" customWidth="1"/>
    <col min="6920" max="6920" width="41" style="421" customWidth="1"/>
    <col min="6921" max="6921" width="11" style="421" customWidth="1"/>
    <col min="6922" max="6927" width="10.140625" style="421" customWidth="1"/>
    <col min="6928" max="6933" width="9.85546875" style="421" customWidth="1"/>
    <col min="6934" max="6937" width="9.7109375" style="421" customWidth="1"/>
    <col min="6938" max="6939" width="9.140625" style="421" customWidth="1"/>
    <col min="6940" max="7174" width="9.140625" style="421"/>
    <col min="7175" max="7175" width="0" style="421" hidden="1" customWidth="1"/>
    <col min="7176" max="7176" width="41" style="421" customWidth="1"/>
    <col min="7177" max="7177" width="11" style="421" customWidth="1"/>
    <col min="7178" max="7183" width="10.140625" style="421" customWidth="1"/>
    <col min="7184" max="7189" width="9.85546875" style="421" customWidth="1"/>
    <col min="7190" max="7193" width="9.7109375" style="421" customWidth="1"/>
    <col min="7194" max="7195" width="9.140625" style="421" customWidth="1"/>
    <col min="7196" max="7430" width="9.140625" style="421"/>
    <col min="7431" max="7431" width="0" style="421" hidden="1" customWidth="1"/>
    <col min="7432" max="7432" width="41" style="421" customWidth="1"/>
    <col min="7433" max="7433" width="11" style="421" customWidth="1"/>
    <col min="7434" max="7439" width="10.140625" style="421" customWidth="1"/>
    <col min="7440" max="7445" width="9.85546875" style="421" customWidth="1"/>
    <col min="7446" max="7449" width="9.7109375" style="421" customWidth="1"/>
    <col min="7450" max="7451" width="9.140625" style="421" customWidth="1"/>
    <col min="7452" max="7686" width="9.140625" style="421"/>
    <col min="7687" max="7687" width="0" style="421" hidden="1" customWidth="1"/>
    <col min="7688" max="7688" width="41" style="421" customWidth="1"/>
    <col min="7689" max="7689" width="11" style="421" customWidth="1"/>
    <col min="7690" max="7695" width="10.140625" style="421" customWidth="1"/>
    <col min="7696" max="7701" width="9.85546875" style="421" customWidth="1"/>
    <col min="7702" max="7705" width="9.7109375" style="421" customWidth="1"/>
    <col min="7706" max="7707" width="9.140625" style="421" customWidth="1"/>
    <col min="7708" max="7942" width="9.140625" style="421"/>
    <col min="7943" max="7943" width="0" style="421" hidden="1" customWidth="1"/>
    <col min="7944" max="7944" width="41" style="421" customWidth="1"/>
    <col min="7945" max="7945" width="11" style="421" customWidth="1"/>
    <col min="7946" max="7951" width="10.140625" style="421" customWidth="1"/>
    <col min="7952" max="7957" width="9.85546875" style="421" customWidth="1"/>
    <col min="7958" max="7961" width="9.7109375" style="421" customWidth="1"/>
    <col min="7962" max="7963" width="9.140625" style="421" customWidth="1"/>
    <col min="7964" max="8198" width="9.140625" style="421"/>
    <col min="8199" max="8199" width="0" style="421" hidden="1" customWidth="1"/>
    <col min="8200" max="8200" width="41" style="421" customWidth="1"/>
    <col min="8201" max="8201" width="11" style="421" customWidth="1"/>
    <col min="8202" max="8207" width="10.140625" style="421" customWidth="1"/>
    <col min="8208" max="8213" width="9.85546875" style="421" customWidth="1"/>
    <col min="8214" max="8217" width="9.7109375" style="421" customWidth="1"/>
    <col min="8218" max="8219" width="9.140625" style="421" customWidth="1"/>
    <col min="8220" max="8454" width="9.140625" style="421"/>
    <col min="8455" max="8455" width="0" style="421" hidden="1" customWidth="1"/>
    <col min="8456" max="8456" width="41" style="421" customWidth="1"/>
    <col min="8457" max="8457" width="11" style="421" customWidth="1"/>
    <col min="8458" max="8463" width="10.140625" style="421" customWidth="1"/>
    <col min="8464" max="8469" width="9.85546875" style="421" customWidth="1"/>
    <col min="8470" max="8473" width="9.7109375" style="421" customWidth="1"/>
    <col min="8474" max="8475" width="9.140625" style="421" customWidth="1"/>
    <col min="8476" max="8710" width="9.140625" style="421"/>
    <col min="8711" max="8711" width="0" style="421" hidden="1" customWidth="1"/>
    <col min="8712" max="8712" width="41" style="421" customWidth="1"/>
    <col min="8713" max="8713" width="11" style="421" customWidth="1"/>
    <col min="8714" max="8719" width="10.140625" style="421" customWidth="1"/>
    <col min="8720" max="8725" width="9.85546875" style="421" customWidth="1"/>
    <col min="8726" max="8729" width="9.7109375" style="421" customWidth="1"/>
    <col min="8730" max="8731" width="9.140625" style="421" customWidth="1"/>
    <col min="8732" max="8966" width="9.140625" style="421"/>
    <col min="8967" max="8967" width="0" style="421" hidden="1" customWidth="1"/>
    <col min="8968" max="8968" width="41" style="421" customWidth="1"/>
    <col min="8969" max="8969" width="11" style="421" customWidth="1"/>
    <col min="8970" max="8975" width="10.140625" style="421" customWidth="1"/>
    <col min="8976" max="8981" width="9.85546875" style="421" customWidth="1"/>
    <col min="8982" max="8985" width="9.7109375" style="421" customWidth="1"/>
    <col min="8986" max="8987" width="9.140625" style="421" customWidth="1"/>
    <col min="8988" max="9222" width="9.140625" style="421"/>
    <col min="9223" max="9223" width="0" style="421" hidden="1" customWidth="1"/>
    <col min="9224" max="9224" width="41" style="421" customWidth="1"/>
    <col min="9225" max="9225" width="11" style="421" customWidth="1"/>
    <col min="9226" max="9231" width="10.140625" style="421" customWidth="1"/>
    <col min="9232" max="9237" width="9.85546875" style="421" customWidth="1"/>
    <col min="9238" max="9241" width="9.7109375" style="421" customWidth="1"/>
    <col min="9242" max="9243" width="9.140625" style="421" customWidth="1"/>
    <col min="9244" max="9478" width="9.140625" style="421"/>
    <col min="9479" max="9479" width="0" style="421" hidden="1" customWidth="1"/>
    <col min="9480" max="9480" width="41" style="421" customWidth="1"/>
    <col min="9481" max="9481" width="11" style="421" customWidth="1"/>
    <col min="9482" max="9487" width="10.140625" style="421" customWidth="1"/>
    <col min="9488" max="9493" width="9.85546875" style="421" customWidth="1"/>
    <col min="9494" max="9497" width="9.7109375" style="421" customWidth="1"/>
    <col min="9498" max="9499" width="9.140625" style="421" customWidth="1"/>
    <col min="9500" max="9734" width="9.140625" style="421"/>
    <col min="9735" max="9735" width="0" style="421" hidden="1" customWidth="1"/>
    <col min="9736" max="9736" width="41" style="421" customWidth="1"/>
    <col min="9737" max="9737" width="11" style="421" customWidth="1"/>
    <col min="9738" max="9743" width="10.140625" style="421" customWidth="1"/>
    <col min="9744" max="9749" width="9.85546875" style="421" customWidth="1"/>
    <col min="9750" max="9753" width="9.7109375" style="421" customWidth="1"/>
    <col min="9754" max="9755" width="9.140625" style="421" customWidth="1"/>
    <col min="9756" max="9990" width="9.140625" style="421"/>
    <col min="9991" max="9991" width="0" style="421" hidden="1" customWidth="1"/>
    <col min="9992" max="9992" width="41" style="421" customWidth="1"/>
    <col min="9993" max="9993" width="11" style="421" customWidth="1"/>
    <col min="9994" max="9999" width="10.140625" style="421" customWidth="1"/>
    <col min="10000" max="10005" width="9.85546875" style="421" customWidth="1"/>
    <col min="10006" max="10009" width="9.7109375" style="421" customWidth="1"/>
    <col min="10010" max="10011" width="9.140625" style="421" customWidth="1"/>
    <col min="10012" max="10246" width="9.140625" style="421"/>
    <col min="10247" max="10247" width="0" style="421" hidden="1" customWidth="1"/>
    <col min="10248" max="10248" width="41" style="421" customWidth="1"/>
    <col min="10249" max="10249" width="11" style="421" customWidth="1"/>
    <col min="10250" max="10255" width="10.140625" style="421" customWidth="1"/>
    <col min="10256" max="10261" width="9.85546875" style="421" customWidth="1"/>
    <col min="10262" max="10265" width="9.7109375" style="421" customWidth="1"/>
    <col min="10266" max="10267" width="9.140625" style="421" customWidth="1"/>
    <col min="10268" max="10502" width="9.140625" style="421"/>
    <col min="10503" max="10503" width="0" style="421" hidden="1" customWidth="1"/>
    <col min="10504" max="10504" width="41" style="421" customWidth="1"/>
    <col min="10505" max="10505" width="11" style="421" customWidth="1"/>
    <col min="10506" max="10511" width="10.140625" style="421" customWidth="1"/>
    <col min="10512" max="10517" width="9.85546875" style="421" customWidth="1"/>
    <col min="10518" max="10521" width="9.7109375" style="421" customWidth="1"/>
    <col min="10522" max="10523" width="9.140625" style="421" customWidth="1"/>
    <col min="10524" max="10758" width="9.140625" style="421"/>
    <col min="10759" max="10759" width="0" style="421" hidden="1" customWidth="1"/>
    <col min="10760" max="10760" width="41" style="421" customWidth="1"/>
    <col min="10761" max="10761" width="11" style="421" customWidth="1"/>
    <col min="10762" max="10767" width="10.140625" style="421" customWidth="1"/>
    <col min="10768" max="10773" width="9.85546875" style="421" customWidth="1"/>
    <col min="10774" max="10777" width="9.7109375" style="421" customWidth="1"/>
    <col min="10778" max="10779" width="9.140625" style="421" customWidth="1"/>
    <col min="10780" max="11014" width="9.140625" style="421"/>
    <col min="11015" max="11015" width="0" style="421" hidden="1" customWidth="1"/>
    <col min="11016" max="11016" width="41" style="421" customWidth="1"/>
    <col min="11017" max="11017" width="11" style="421" customWidth="1"/>
    <col min="11018" max="11023" width="10.140625" style="421" customWidth="1"/>
    <col min="11024" max="11029" width="9.85546875" style="421" customWidth="1"/>
    <col min="11030" max="11033" width="9.7109375" style="421" customWidth="1"/>
    <col min="11034" max="11035" width="9.140625" style="421" customWidth="1"/>
    <col min="11036" max="11270" width="9.140625" style="421"/>
    <col min="11271" max="11271" width="0" style="421" hidden="1" customWidth="1"/>
    <col min="11272" max="11272" width="41" style="421" customWidth="1"/>
    <col min="11273" max="11273" width="11" style="421" customWidth="1"/>
    <col min="11274" max="11279" width="10.140625" style="421" customWidth="1"/>
    <col min="11280" max="11285" width="9.85546875" style="421" customWidth="1"/>
    <col min="11286" max="11289" width="9.7109375" style="421" customWidth="1"/>
    <col min="11290" max="11291" width="9.140625" style="421" customWidth="1"/>
    <col min="11292" max="11526" width="9.140625" style="421"/>
    <col min="11527" max="11527" width="0" style="421" hidden="1" customWidth="1"/>
    <col min="11528" max="11528" width="41" style="421" customWidth="1"/>
    <col min="11529" max="11529" width="11" style="421" customWidth="1"/>
    <col min="11530" max="11535" width="10.140625" style="421" customWidth="1"/>
    <col min="11536" max="11541" width="9.85546875" style="421" customWidth="1"/>
    <col min="11542" max="11545" width="9.7109375" style="421" customWidth="1"/>
    <col min="11546" max="11547" width="9.140625" style="421" customWidth="1"/>
    <col min="11548" max="11782" width="9.140625" style="421"/>
    <col min="11783" max="11783" width="0" style="421" hidden="1" customWidth="1"/>
    <col min="11784" max="11784" width="41" style="421" customWidth="1"/>
    <col min="11785" max="11785" width="11" style="421" customWidth="1"/>
    <col min="11786" max="11791" width="10.140625" style="421" customWidth="1"/>
    <col min="11792" max="11797" width="9.85546875" style="421" customWidth="1"/>
    <col min="11798" max="11801" width="9.7109375" style="421" customWidth="1"/>
    <col min="11802" max="11803" width="9.140625" style="421" customWidth="1"/>
    <col min="11804" max="12038" width="9.140625" style="421"/>
    <col min="12039" max="12039" width="0" style="421" hidden="1" customWidth="1"/>
    <col min="12040" max="12040" width="41" style="421" customWidth="1"/>
    <col min="12041" max="12041" width="11" style="421" customWidth="1"/>
    <col min="12042" max="12047" width="10.140625" style="421" customWidth="1"/>
    <col min="12048" max="12053" width="9.85546875" style="421" customWidth="1"/>
    <col min="12054" max="12057" width="9.7109375" style="421" customWidth="1"/>
    <col min="12058" max="12059" width="9.140625" style="421" customWidth="1"/>
    <col min="12060" max="12294" width="9.140625" style="421"/>
    <col min="12295" max="12295" width="0" style="421" hidden="1" customWidth="1"/>
    <col min="12296" max="12296" width="41" style="421" customWidth="1"/>
    <col min="12297" max="12297" width="11" style="421" customWidth="1"/>
    <col min="12298" max="12303" width="10.140625" style="421" customWidth="1"/>
    <col min="12304" max="12309" width="9.85546875" style="421" customWidth="1"/>
    <col min="12310" max="12313" width="9.7109375" style="421" customWidth="1"/>
    <col min="12314" max="12315" width="9.140625" style="421" customWidth="1"/>
    <col min="12316" max="12550" width="9.140625" style="421"/>
    <col min="12551" max="12551" width="0" style="421" hidden="1" customWidth="1"/>
    <col min="12552" max="12552" width="41" style="421" customWidth="1"/>
    <col min="12553" max="12553" width="11" style="421" customWidth="1"/>
    <col min="12554" max="12559" width="10.140625" style="421" customWidth="1"/>
    <col min="12560" max="12565" width="9.85546875" style="421" customWidth="1"/>
    <col min="12566" max="12569" width="9.7109375" style="421" customWidth="1"/>
    <col min="12570" max="12571" width="9.140625" style="421" customWidth="1"/>
    <col min="12572" max="12806" width="9.140625" style="421"/>
    <col min="12807" max="12807" width="0" style="421" hidden="1" customWidth="1"/>
    <col min="12808" max="12808" width="41" style="421" customWidth="1"/>
    <col min="12809" max="12809" width="11" style="421" customWidth="1"/>
    <col min="12810" max="12815" width="10.140625" style="421" customWidth="1"/>
    <col min="12816" max="12821" width="9.85546875" style="421" customWidth="1"/>
    <col min="12822" max="12825" width="9.7109375" style="421" customWidth="1"/>
    <col min="12826" max="12827" width="9.140625" style="421" customWidth="1"/>
    <col min="12828" max="13062" width="9.140625" style="421"/>
    <col min="13063" max="13063" width="0" style="421" hidden="1" customWidth="1"/>
    <col min="13064" max="13064" width="41" style="421" customWidth="1"/>
    <col min="13065" max="13065" width="11" style="421" customWidth="1"/>
    <col min="13066" max="13071" width="10.140625" style="421" customWidth="1"/>
    <col min="13072" max="13077" width="9.85546875" style="421" customWidth="1"/>
    <col min="13078" max="13081" width="9.7109375" style="421" customWidth="1"/>
    <col min="13082" max="13083" width="9.140625" style="421" customWidth="1"/>
    <col min="13084" max="13318" width="9.140625" style="421"/>
    <col min="13319" max="13319" width="0" style="421" hidden="1" customWidth="1"/>
    <col min="13320" max="13320" width="41" style="421" customWidth="1"/>
    <col min="13321" max="13321" width="11" style="421" customWidth="1"/>
    <col min="13322" max="13327" width="10.140625" style="421" customWidth="1"/>
    <col min="13328" max="13333" width="9.85546875" style="421" customWidth="1"/>
    <col min="13334" max="13337" width="9.7109375" style="421" customWidth="1"/>
    <col min="13338" max="13339" width="9.140625" style="421" customWidth="1"/>
    <col min="13340" max="13574" width="9.140625" style="421"/>
    <col min="13575" max="13575" width="0" style="421" hidden="1" customWidth="1"/>
    <col min="13576" max="13576" width="41" style="421" customWidth="1"/>
    <col min="13577" max="13577" width="11" style="421" customWidth="1"/>
    <col min="13578" max="13583" width="10.140625" style="421" customWidth="1"/>
    <col min="13584" max="13589" width="9.85546875" style="421" customWidth="1"/>
    <col min="13590" max="13593" width="9.7109375" style="421" customWidth="1"/>
    <col min="13594" max="13595" width="9.140625" style="421" customWidth="1"/>
    <col min="13596" max="13830" width="9.140625" style="421"/>
    <col min="13831" max="13831" width="0" style="421" hidden="1" customWidth="1"/>
    <col min="13832" max="13832" width="41" style="421" customWidth="1"/>
    <col min="13833" max="13833" width="11" style="421" customWidth="1"/>
    <col min="13834" max="13839" width="10.140625" style="421" customWidth="1"/>
    <col min="13840" max="13845" width="9.85546875" style="421" customWidth="1"/>
    <col min="13846" max="13849" width="9.7109375" style="421" customWidth="1"/>
    <col min="13850" max="13851" width="9.140625" style="421" customWidth="1"/>
    <col min="13852" max="14086" width="9.140625" style="421"/>
    <col min="14087" max="14087" width="0" style="421" hidden="1" customWidth="1"/>
    <col min="14088" max="14088" width="41" style="421" customWidth="1"/>
    <col min="14089" max="14089" width="11" style="421" customWidth="1"/>
    <col min="14090" max="14095" width="10.140625" style="421" customWidth="1"/>
    <col min="14096" max="14101" width="9.85546875" style="421" customWidth="1"/>
    <col min="14102" max="14105" width="9.7109375" style="421" customWidth="1"/>
    <col min="14106" max="14107" width="9.140625" style="421" customWidth="1"/>
    <col min="14108" max="14342" width="9.140625" style="421"/>
    <col min="14343" max="14343" width="0" style="421" hidden="1" customWidth="1"/>
    <col min="14344" max="14344" width="41" style="421" customWidth="1"/>
    <col min="14345" max="14345" width="11" style="421" customWidth="1"/>
    <col min="14346" max="14351" width="10.140625" style="421" customWidth="1"/>
    <col min="14352" max="14357" width="9.85546875" style="421" customWidth="1"/>
    <col min="14358" max="14361" width="9.7109375" style="421" customWidth="1"/>
    <col min="14362" max="14363" width="9.140625" style="421" customWidth="1"/>
    <col min="14364" max="14598" width="9.140625" style="421"/>
    <col min="14599" max="14599" width="0" style="421" hidden="1" customWidth="1"/>
    <col min="14600" max="14600" width="41" style="421" customWidth="1"/>
    <col min="14601" max="14601" width="11" style="421" customWidth="1"/>
    <col min="14602" max="14607" width="10.140625" style="421" customWidth="1"/>
    <col min="14608" max="14613" width="9.85546875" style="421" customWidth="1"/>
    <col min="14614" max="14617" width="9.7109375" style="421" customWidth="1"/>
    <col min="14618" max="14619" width="9.140625" style="421" customWidth="1"/>
    <col min="14620" max="14854" width="9.140625" style="421"/>
    <col min="14855" max="14855" width="0" style="421" hidden="1" customWidth="1"/>
    <col min="14856" max="14856" width="41" style="421" customWidth="1"/>
    <col min="14857" max="14857" width="11" style="421" customWidth="1"/>
    <col min="14858" max="14863" width="10.140625" style="421" customWidth="1"/>
    <col min="14864" max="14869" width="9.85546875" style="421" customWidth="1"/>
    <col min="14870" max="14873" width="9.7109375" style="421" customWidth="1"/>
    <col min="14874" max="14875" width="9.140625" style="421" customWidth="1"/>
    <col min="14876" max="15110" width="9.140625" style="421"/>
    <col min="15111" max="15111" width="0" style="421" hidden="1" customWidth="1"/>
    <col min="15112" max="15112" width="41" style="421" customWidth="1"/>
    <col min="15113" max="15113" width="11" style="421" customWidth="1"/>
    <col min="15114" max="15119" width="10.140625" style="421" customWidth="1"/>
    <col min="15120" max="15125" width="9.85546875" style="421" customWidth="1"/>
    <col min="15126" max="15129" width="9.7109375" style="421" customWidth="1"/>
    <col min="15130" max="15131" width="9.140625" style="421" customWidth="1"/>
    <col min="15132" max="15366" width="9.140625" style="421"/>
    <col min="15367" max="15367" width="0" style="421" hidden="1" customWidth="1"/>
    <col min="15368" max="15368" width="41" style="421" customWidth="1"/>
    <col min="15369" max="15369" width="11" style="421" customWidth="1"/>
    <col min="15370" max="15375" width="10.140625" style="421" customWidth="1"/>
    <col min="15376" max="15381" width="9.85546875" style="421" customWidth="1"/>
    <col min="15382" max="15385" width="9.7109375" style="421" customWidth="1"/>
    <col min="15386" max="15387" width="9.140625" style="421" customWidth="1"/>
    <col min="15388" max="15622" width="9.140625" style="421"/>
    <col min="15623" max="15623" width="0" style="421" hidden="1" customWidth="1"/>
    <col min="15624" max="15624" width="41" style="421" customWidth="1"/>
    <col min="15625" max="15625" width="11" style="421" customWidth="1"/>
    <col min="15626" max="15631" width="10.140625" style="421" customWidth="1"/>
    <col min="15632" max="15637" width="9.85546875" style="421" customWidth="1"/>
    <col min="15638" max="15641" width="9.7109375" style="421" customWidth="1"/>
    <col min="15642" max="15643" width="9.140625" style="421" customWidth="1"/>
    <col min="15644" max="15878" width="9.140625" style="421"/>
    <col min="15879" max="15879" width="0" style="421" hidden="1" customWidth="1"/>
    <col min="15880" max="15880" width="41" style="421" customWidth="1"/>
    <col min="15881" max="15881" width="11" style="421" customWidth="1"/>
    <col min="15882" max="15887" width="10.140625" style="421" customWidth="1"/>
    <col min="15888" max="15893" width="9.85546875" style="421" customWidth="1"/>
    <col min="15894" max="15897" width="9.7109375" style="421" customWidth="1"/>
    <col min="15898" max="15899" width="9.140625" style="421" customWidth="1"/>
    <col min="15900" max="16134" width="9.140625" style="421"/>
    <col min="16135" max="16135" width="0" style="421" hidden="1" customWidth="1"/>
    <col min="16136" max="16136" width="41" style="421" customWidth="1"/>
    <col min="16137" max="16137" width="11" style="421" customWidth="1"/>
    <col min="16138" max="16143" width="10.140625" style="421" customWidth="1"/>
    <col min="16144" max="16149" width="9.85546875" style="421" customWidth="1"/>
    <col min="16150" max="16153" width="9.7109375" style="421" customWidth="1"/>
    <col min="16154" max="16155" width="9.140625" style="421" customWidth="1"/>
    <col min="16156" max="16384" width="9.140625" style="421"/>
  </cols>
  <sheetData>
    <row r="1" spans="2:36" s="530" customFormat="1" ht="21" customHeight="1" x14ac:dyDescent="0.25">
      <c r="B1" s="533" t="s">
        <v>288</v>
      </c>
      <c r="C1" s="532"/>
      <c r="D1" s="531"/>
      <c r="E1" s="531"/>
      <c r="F1" s="531"/>
      <c r="G1" s="531"/>
      <c r="H1" s="531"/>
      <c r="I1" s="531"/>
      <c r="J1" s="531"/>
      <c r="K1" s="531"/>
      <c r="L1" s="531"/>
    </row>
    <row r="2" spans="2:36" ht="15.75" thickBot="1" x14ac:dyDescent="0.3">
      <c r="AA2" s="421" t="s">
        <v>189</v>
      </c>
    </row>
    <row r="3" spans="2:36" ht="15.75" thickBot="1" x14ac:dyDescent="0.3">
      <c r="B3" s="556" t="s">
        <v>106</v>
      </c>
      <c r="C3" s="558" t="s">
        <v>94</v>
      </c>
      <c r="D3" s="560" t="s">
        <v>95</v>
      </c>
      <c r="E3" s="561"/>
      <c r="F3" s="561"/>
      <c r="G3" s="561"/>
      <c r="H3" s="561"/>
      <c r="I3" s="561"/>
      <c r="J3" s="561"/>
      <c r="K3" s="561"/>
      <c r="L3" s="562"/>
      <c r="M3" s="560" t="s">
        <v>88</v>
      </c>
      <c r="N3" s="561"/>
      <c r="O3" s="561"/>
      <c r="P3" s="561"/>
      <c r="Q3" s="561"/>
      <c r="R3" s="561"/>
      <c r="S3" s="561"/>
      <c r="T3" s="561"/>
      <c r="U3" s="562"/>
      <c r="V3" s="560" t="s">
        <v>282</v>
      </c>
      <c r="W3" s="561"/>
      <c r="X3" s="561"/>
      <c r="Y3" s="561"/>
      <c r="Z3" s="561"/>
      <c r="AA3" s="561"/>
      <c r="AB3" s="561"/>
      <c r="AC3" s="561"/>
      <c r="AD3" s="562"/>
    </row>
    <row r="4" spans="2:36" ht="15.75" thickBot="1" x14ac:dyDescent="0.3">
      <c r="B4" s="557"/>
      <c r="C4" s="559"/>
      <c r="D4" s="529">
        <v>2012</v>
      </c>
      <c r="E4" s="527">
        <f t="shared" ref="E4:L4" si="0">D4+1</f>
        <v>2013</v>
      </c>
      <c r="F4" s="527">
        <f t="shared" si="0"/>
        <v>2014</v>
      </c>
      <c r="G4" s="527">
        <f t="shared" si="0"/>
        <v>2015</v>
      </c>
      <c r="H4" s="528">
        <f t="shared" si="0"/>
        <v>2016</v>
      </c>
      <c r="I4" s="527">
        <f t="shared" si="0"/>
        <v>2017</v>
      </c>
      <c r="J4" s="527">
        <f t="shared" si="0"/>
        <v>2018</v>
      </c>
      <c r="K4" s="527">
        <f t="shared" si="0"/>
        <v>2019</v>
      </c>
      <c r="L4" s="526">
        <f t="shared" si="0"/>
        <v>2020</v>
      </c>
      <c r="M4" s="529">
        <f>D4</f>
        <v>2012</v>
      </c>
      <c r="N4" s="527">
        <f t="shared" ref="N4:U4" si="1">M4+1</f>
        <v>2013</v>
      </c>
      <c r="O4" s="527">
        <f t="shared" si="1"/>
        <v>2014</v>
      </c>
      <c r="P4" s="527">
        <f t="shared" si="1"/>
        <v>2015</v>
      </c>
      <c r="Q4" s="528">
        <f t="shared" si="1"/>
        <v>2016</v>
      </c>
      <c r="R4" s="527">
        <f t="shared" si="1"/>
        <v>2017</v>
      </c>
      <c r="S4" s="527">
        <f t="shared" si="1"/>
        <v>2018</v>
      </c>
      <c r="T4" s="527">
        <f t="shared" si="1"/>
        <v>2019</v>
      </c>
      <c r="U4" s="526">
        <f t="shared" si="1"/>
        <v>2020</v>
      </c>
      <c r="V4" s="529">
        <f>D4</f>
        <v>2012</v>
      </c>
      <c r="W4" s="527">
        <f t="shared" ref="W4:AD4" si="2">V4+1</f>
        <v>2013</v>
      </c>
      <c r="X4" s="527">
        <f t="shared" si="2"/>
        <v>2014</v>
      </c>
      <c r="Y4" s="527">
        <f t="shared" si="2"/>
        <v>2015</v>
      </c>
      <c r="Z4" s="528">
        <f t="shared" si="2"/>
        <v>2016</v>
      </c>
      <c r="AA4" s="527">
        <f t="shared" si="2"/>
        <v>2017</v>
      </c>
      <c r="AB4" s="527">
        <f t="shared" si="2"/>
        <v>2018</v>
      </c>
      <c r="AC4" s="527">
        <f t="shared" si="2"/>
        <v>2019</v>
      </c>
      <c r="AD4" s="526">
        <f t="shared" si="2"/>
        <v>2020</v>
      </c>
    </row>
    <row r="5" spans="2:36" x14ac:dyDescent="0.25">
      <c r="B5" s="525" t="s">
        <v>190</v>
      </c>
      <c r="C5" s="524" t="s">
        <v>189</v>
      </c>
      <c r="D5" s="523">
        <f>'[2]СПб +факт 2011'!H75/1000</f>
        <v>2883.2684356653845</v>
      </c>
      <c r="E5" s="521">
        <f>'[2]СПб +факт 2011'!I75/1000</f>
        <v>3054.0101852417702</v>
      </c>
      <c r="F5" s="521">
        <f>[3]модель!H$86/1000</f>
        <v>3373.8544959750352</v>
      </c>
      <c r="G5" s="521">
        <f>[4]модель!$I$86/1000</f>
        <v>3515.1354392772055</v>
      </c>
      <c r="H5" s="522">
        <f>[4]модель!$J$86/1000</f>
        <v>3724.324553691627</v>
      </c>
      <c r="I5" s="521">
        <f>[4]модель!$K$86/1000</f>
        <v>3916.1577569169181</v>
      </c>
      <c r="J5" s="521">
        <f>[4]модель!$L$86/1000</f>
        <v>4020.7896244740255</v>
      </c>
      <c r="K5" s="521">
        <f>[4]модель!$M$86/1000</f>
        <v>4114.8532718208526</v>
      </c>
      <c r="L5" s="520">
        <f>[4]модель!$N$86/1000</f>
        <v>4175.4151847140538</v>
      </c>
      <c r="M5" s="523">
        <f>'[2]ЛО '!H37/1000</f>
        <v>2541.1664574251004</v>
      </c>
      <c r="N5" s="521">
        <f>'[2]ЛО '!I37/1000</f>
        <v>2656.8221418450844</v>
      </c>
      <c r="O5" s="521">
        <f>'[5]утв ЛО 2014 '!$I$36/1000</f>
        <v>2773.2383019140671</v>
      </c>
      <c r="P5" s="521">
        <f>'[4]Тарифная модель ЛО'!$K$39/1000</f>
        <v>2995.6535999999996</v>
      </c>
      <c r="Q5" s="522">
        <f>'[4]Тарифная модель ЛО'!$L$38/1000</f>
        <v>3120.8120074079989</v>
      </c>
      <c r="R5" s="521">
        <f>'[4]Тарифная модель ЛО'!$M$38/1000</f>
        <v>3501.0070261493138</v>
      </c>
      <c r="S5" s="521">
        <f>'[4]Тарифная модель ЛО'!$N$38/1000</f>
        <v>3870.8917333767222</v>
      </c>
      <c r="T5" s="521">
        <f>'[4]Тарифная модель ЛО'!$O$38/1000</f>
        <v>4065.0730335809517</v>
      </c>
      <c r="U5" s="520">
        <f>'[4]Тарифная модель ЛО'!$P$38/1000</f>
        <v>4183.6790334878224</v>
      </c>
      <c r="V5" s="523">
        <f t="shared" ref="V5:V16" si="3">D5+M5</f>
        <v>5424.4348930904853</v>
      </c>
      <c r="W5" s="521">
        <f t="shared" ref="W5:W16" si="4">E5+N5</f>
        <v>5710.832327086855</v>
      </c>
      <c r="X5" s="521">
        <f t="shared" ref="X5:X16" si="5">F5+O5</f>
        <v>6147.0927978891023</v>
      </c>
      <c r="Y5" s="521">
        <f t="shared" ref="Y5:Y16" si="6">G5+P5</f>
        <v>6510.7890392772051</v>
      </c>
      <c r="Z5" s="522">
        <f t="shared" ref="Z5:Z16" si="7">H5+Q5</f>
        <v>6845.1365610996254</v>
      </c>
      <c r="AA5" s="521">
        <f t="shared" ref="AA5:AA16" si="8">I5+R5</f>
        <v>7417.1647830662314</v>
      </c>
      <c r="AB5" s="521">
        <f t="shared" ref="AB5:AB16" si="9">J5+S5</f>
        <v>7891.6813578507481</v>
      </c>
      <c r="AC5" s="521">
        <f t="shared" ref="AC5:AC16" si="10">K5+T5</f>
        <v>8179.9263054018047</v>
      </c>
      <c r="AD5" s="520">
        <f t="shared" ref="AD5:AD16" si="11">L5+U5</f>
        <v>8359.0942182018771</v>
      </c>
    </row>
    <row r="6" spans="2:36" s="452" customFormat="1" ht="14.25" customHeight="1" x14ac:dyDescent="0.25">
      <c r="B6" s="519" t="s">
        <v>191</v>
      </c>
      <c r="C6" s="493" t="s">
        <v>189</v>
      </c>
      <c r="D6" s="518">
        <f t="shared" ref="D6:U6" si="12">SUM(D7:D11)</f>
        <v>12956.334256309812</v>
      </c>
      <c r="E6" s="516">
        <f t="shared" si="12"/>
        <v>16020.368093698662</v>
      </c>
      <c r="F6" s="516">
        <f t="shared" si="12"/>
        <v>17372.647391341059</v>
      </c>
      <c r="G6" s="516">
        <f t="shared" si="12"/>
        <v>20980.933522444186</v>
      </c>
      <c r="H6" s="517">
        <f t="shared" si="12"/>
        <v>23532.329878738718</v>
      </c>
      <c r="I6" s="516">
        <f t="shared" si="12"/>
        <v>27322.094100168099</v>
      </c>
      <c r="J6" s="516">
        <f t="shared" si="12"/>
        <v>24646.607644703101</v>
      </c>
      <c r="K6" s="516">
        <f t="shared" si="12"/>
        <v>25611.568838969506</v>
      </c>
      <c r="L6" s="515">
        <f t="shared" si="12"/>
        <v>25975.240648347077</v>
      </c>
      <c r="M6" s="518">
        <f t="shared" si="12"/>
        <v>9810.4191572430518</v>
      </c>
      <c r="N6" s="516">
        <f t="shared" si="12"/>
        <v>8838.7837178791106</v>
      </c>
      <c r="O6" s="516">
        <f t="shared" si="12"/>
        <v>11148.581496191802</v>
      </c>
      <c r="P6" s="516">
        <f t="shared" si="12"/>
        <v>11556.592389797641</v>
      </c>
      <c r="Q6" s="517">
        <f t="shared" si="12"/>
        <v>14308.793324107628</v>
      </c>
      <c r="R6" s="516">
        <f t="shared" si="12"/>
        <v>15059.603463923633</v>
      </c>
      <c r="S6" s="516">
        <f t="shared" si="12"/>
        <v>15418.043028909555</v>
      </c>
      <c r="T6" s="516">
        <f t="shared" si="12"/>
        <v>17350.603664780941</v>
      </c>
      <c r="U6" s="515">
        <f t="shared" si="12"/>
        <v>19875.114329267242</v>
      </c>
      <c r="V6" s="518">
        <f t="shared" si="3"/>
        <v>22766.753413552862</v>
      </c>
      <c r="W6" s="516">
        <f t="shared" si="4"/>
        <v>24859.151811577773</v>
      </c>
      <c r="X6" s="516">
        <f t="shared" si="5"/>
        <v>28521.22888753286</v>
      </c>
      <c r="Y6" s="516">
        <f t="shared" si="6"/>
        <v>32537.525912241828</v>
      </c>
      <c r="Z6" s="517">
        <f t="shared" si="7"/>
        <v>37841.123202846342</v>
      </c>
      <c r="AA6" s="516">
        <f t="shared" si="8"/>
        <v>42381.69756409173</v>
      </c>
      <c r="AB6" s="516">
        <f t="shared" si="9"/>
        <v>40064.650673612654</v>
      </c>
      <c r="AC6" s="516">
        <f t="shared" si="10"/>
        <v>42962.172503750451</v>
      </c>
      <c r="AD6" s="515">
        <f t="shared" si="11"/>
        <v>45850.354977614319</v>
      </c>
    </row>
    <row r="7" spans="2:36" s="452" customFormat="1" x14ac:dyDescent="0.25">
      <c r="B7" s="514" t="s">
        <v>283</v>
      </c>
      <c r="C7" s="501" t="s">
        <v>189</v>
      </c>
      <c r="D7" s="500">
        <f>'[2]СПб +факт 2011'!H188/1000</f>
        <v>4529.8300116625505</v>
      </c>
      <c r="E7" s="497">
        <f>'[2]СПб +факт 2011'!I188/1000</f>
        <v>5017.3630142487964</v>
      </c>
      <c r="F7" s="497">
        <f>[3]модель!H$54/1000</f>
        <v>4865.9193127844001</v>
      </c>
      <c r="G7" s="497">
        <f>[4]модель!$I$54/1000</f>
        <v>4974.13377650038</v>
      </c>
      <c r="H7" s="498">
        <f>[4]модель!$J$54/1000</f>
        <v>4841.7344061323993</v>
      </c>
      <c r="I7" s="497">
        <f>[4]модель!$K$54/1000</f>
        <v>5274.9462094341598</v>
      </c>
      <c r="J7" s="497">
        <f>[4]модель!$L$54/1000</f>
        <v>5315.8920560619927</v>
      </c>
      <c r="K7" s="497">
        <f>[4]модель!$M$54/1000</f>
        <v>5558.4184488876263</v>
      </c>
      <c r="L7" s="496">
        <f>[4]модель!$N$54/1000</f>
        <v>5780.7551868431319</v>
      </c>
      <c r="M7" s="500">
        <f>'[2]ЛО '!G168/1000</f>
        <v>2236.3930554443295</v>
      </c>
      <c r="N7" s="497">
        <f>'[2]ЛО '!H168/1000</f>
        <v>2381.6335652500002</v>
      </c>
      <c r="O7" s="497">
        <f>'[5]утв ЛО 2014 '!$I$172/1000</f>
        <v>2477.895704</v>
      </c>
      <c r="P7" s="497">
        <f>'[4]Тарифная модель ЛО'!$J$179/1000</f>
        <v>2564.3982048411599</v>
      </c>
      <c r="Q7" s="498">
        <f>'[4]Тарифная модель ЛО'!$K$179/1000</f>
        <v>2620.5220970867795</v>
      </c>
      <c r="R7" s="497">
        <f>'[4]Тарифная модель ЛО'!$L$179/1000</f>
        <v>2828.8347427616932</v>
      </c>
      <c r="S7" s="497">
        <f>'[4]Тарифная модель ЛО'!$M$179/1000</f>
        <v>2958.3586325520191</v>
      </c>
      <c r="T7" s="497">
        <f>'[4]Тарифная модель ЛО'!$N$179/1000</f>
        <v>3075.3806706120531</v>
      </c>
      <c r="U7" s="496">
        <f>'[4]Тарифная модель ЛО'!$O$179/1000</f>
        <v>3182.0805818951449</v>
      </c>
      <c r="V7" s="500">
        <f t="shared" si="3"/>
        <v>6766.2230671068801</v>
      </c>
      <c r="W7" s="497">
        <f t="shared" si="4"/>
        <v>7398.9965794987966</v>
      </c>
      <c r="X7" s="497">
        <f t="shared" si="5"/>
        <v>7343.8150167843996</v>
      </c>
      <c r="Y7" s="497">
        <f t="shared" si="6"/>
        <v>7538.5319813415399</v>
      </c>
      <c r="Z7" s="498">
        <f t="shared" si="7"/>
        <v>7462.2565032191787</v>
      </c>
      <c r="AA7" s="497">
        <f t="shared" si="8"/>
        <v>8103.7809521958534</v>
      </c>
      <c r="AB7" s="497">
        <f t="shared" si="9"/>
        <v>8274.2506886140109</v>
      </c>
      <c r="AC7" s="497">
        <f t="shared" si="10"/>
        <v>8633.7991194996794</v>
      </c>
      <c r="AD7" s="496">
        <f t="shared" si="11"/>
        <v>8962.8357687382777</v>
      </c>
    </row>
    <row r="8" spans="2:36" s="452" customFormat="1" x14ac:dyDescent="0.25">
      <c r="B8" s="514" t="s">
        <v>192</v>
      </c>
      <c r="C8" s="501" t="s">
        <v>189</v>
      </c>
      <c r="D8" s="500">
        <f>('[2]СПб +факт 2011'!H199-'[2]СПб +факт 2011'!H212)/1000</f>
        <v>3396.2376811488602</v>
      </c>
      <c r="E8" s="497">
        <f>('[2]СПб +факт 2011'!I199-'[2]СПб +факт 2011'!I212)/1000</f>
        <v>5177.0710199999994</v>
      </c>
      <c r="F8" s="497">
        <f>([3]модель!H$211+[3]модель!H$217)/1000</f>
        <v>5318.012302885415</v>
      </c>
      <c r="G8" s="497">
        <f>([4]модель!$I$213+[4]модель!$I$219)/1000</f>
        <v>6215.6801591744725</v>
      </c>
      <c r="H8" s="498">
        <f>([4]модель!$J$213+[4]модель!$J$219)/1000</f>
        <v>6786.0573158653769</v>
      </c>
      <c r="I8" s="497">
        <f>([4]модель!$K$213+[4]модель!$K$219)/1000</f>
        <v>6148.2020822967579</v>
      </c>
      <c r="J8" s="497">
        <f>([4]модель!$L$213+[4]модель!$L$219)/1000</f>
        <v>6774.0851331004242</v>
      </c>
      <c r="K8" s="497">
        <f>([4]модель!$M$213+[4]модель!$M$219)/1000</f>
        <v>7006.3863726418549</v>
      </c>
      <c r="L8" s="496">
        <f>([4]модель!$N$213+[4]модель!$N$219)/1000</f>
        <v>6318.0542312030693</v>
      </c>
      <c r="M8" s="500">
        <f>'[2]ЛО '!G179/1000</f>
        <v>4762.9476500000001</v>
      </c>
      <c r="N8" s="497">
        <f>'[2]ЛО '!H179/1000</f>
        <v>3885.9585837215541</v>
      </c>
      <c r="O8" s="497">
        <f>'[5]утв ЛО 2014 '!$I$183/1000</f>
        <v>5628.4796933718026</v>
      </c>
      <c r="P8" s="497">
        <f>'[4]Тарифная модель ЛО'!$J$190/1000</f>
        <v>5896.3903971771151</v>
      </c>
      <c r="Q8" s="498">
        <f>'[4]Тарифная модель ЛО'!$K$190/1000</f>
        <v>7538.6753504799317</v>
      </c>
      <c r="R8" s="497">
        <f>'[4]Тарифная модель ЛО'!$L$190/1000</f>
        <v>7792.987790000001</v>
      </c>
      <c r="S8" s="497">
        <f>'[4]Тарифная модель ЛО'!$M$190/1000</f>
        <v>8139.630045302777</v>
      </c>
      <c r="T8" s="497">
        <f>'[4]Тарифная модель ЛО'!$N$190/1000</f>
        <v>8423.9466060062514</v>
      </c>
      <c r="U8" s="496">
        <f>'[4]Тарифная модель ЛО'!$O$190/1000</f>
        <v>8683.1279893202409</v>
      </c>
      <c r="V8" s="500">
        <f t="shared" si="3"/>
        <v>8159.1853311488603</v>
      </c>
      <c r="W8" s="497">
        <f t="shared" si="4"/>
        <v>9063.0296037215539</v>
      </c>
      <c r="X8" s="497">
        <f t="shared" si="5"/>
        <v>10946.491996257217</v>
      </c>
      <c r="Y8" s="497">
        <f t="shared" si="6"/>
        <v>12112.070556351588</v>
      </c>
      <c r="Z8" s="498">
        <f t="shared" si="7"/>
        <v>14324.73266634531</v>
      </c>
      <c r="AA8" s="497">
        <f t="shared" si="8"/>
        <v>13941.18987229676</v>
      </c>
      <c r="AB8" s="497">
        <f t="shared" si="9"/>
        <v>14913.715178403201</v>
      </c>
      <c r="AC8" s="497">
        <f t="shared" si="10"/>
        <v>15430.332978648106</v>
      </c>
      <c r="AD8" s="496">
        <f t="shared" si="11"/>
        <v>15001.182220523311</v>
      </c>
    </row>
    <row r="9" spans="2:36" s="452" customFormat="1" x14ac:dyDescent="0.25">
      <c r="B9" s="514" t="s">
        <v>284</v>
      </c>
      <c r="C9" s="501" t="s">
        <v>189</v>
      </c>
      <c r="D9" s="500">
        <f>'[2]СПб +факт 2011'!H206/1000</f>
        <v>3850.6554434984018</v>
      </c>
      <c r="E9" s="497">
        <f>'[2]СПб +факт 2011'!I206/1000</f>
        <v>3561.7150347791244</v>
      </c>
      <c r="F9" s="497">
        <f>[3]модель!H$231/1000</f>
        <v>3871.3081359399994</v>
      </c>
      <c r="G9" s="497">
        <f>[4]модель!$I$233/1000</f>
        <v>4222.1216102471308</v>
      </c>
      <c r="H9" s="498">
        <f>[4]модель!$J$233/1000</f>
        <v>4574.8036947239025</v>
      </c>
      <c r="I9" s="497">
        <f>[4]модель!$K$233/1000</f>
        <v>4874.6930051326262</v>
      </c>
      <c r="J9" s="497">
        <f>[4]модель!$L$233/1000</f>
        <v>5624.5900806492773</v>
      </c>
      <c r="K9" s="497">
        <f>[4]модель!$M$233/1000</f>
        <v>6033.7004637986311</v>
      </c>
      <c r="L9" s="496">
        <f>[4]модель!$N$233/1000</f>
        <v>6472.4148994056595</v>
      </c>
      <c r="M9" s="500">
        <f>'[2]ЛО '!G186/1000</f>
        <v>2296.3027508969462</v>
      </c>
      <c r="N9" s="497">
        <f>'[2]ЛО '!H186/1000</f>
        <v>1965.6479800000004</v>
      </c>
      <c r="O9" s="497">
        <f>'[5]утв ЛО 2014 '!$I$190/1000</f>
        <v>2772.6786246600009</v>
      </c>
      <c r="P9" s="497">
        <f>'[4]Тарифная модель ЛО'!$J$197/1000</f>
        <v>2136.5836535752005</v>
      </c>
      <c r="Q9" s="498">
        <f>'[4]Тарифная модель ЛО'!$K$197/1000</f>
        <v>2563.3821595242935</v>
      </c>
      <c r="R9" s="497">
        <f>'[4]Тарифная модель ЛО'!$L$197/1000</f>
        <v>2749.4677000000001</v>
      </c>
      <c r="S9" s="497">
        <f>'[4]Тарифная модель ЛО'!$M$197/1000</f>
        <v>2975.4851419216589</v>
      </c>
      <c r="T9" s="497">
        <f>'[4]Тарифная модель ЛО'!$N$197/1000</f>
        <v>3109.231370073026</v>
      </c>
      <c r="U9" s="496">
        <f>'[4]Тарифная модель ЛО'!$O$197/1000</f>
        <v>3161.532812416157</v>
      </c>
      <c r="V9" s="500">
        <f t="shared" si="3"/>
        <v>6146.9581943953481</v>
      </c>
      <c r="W9" s="497">
        <f t="shared" si="4"/>
        <v>5527.3630147791246</v>
      </c>
      <c r="X9" s="497">
        <f t="shared" si="5"/>
        <v>6643.9867606000007</v>
      </c>
      <c r="Y9" s="497">
        <f t="shared" si="6"/>
        <v>6358.7052638223313</v>
      </c>
      <c r="Z9" s="498">
        <f t="shared" si="7"/>
        <v>7138.1858542481959</v>
      </c>
      <c r="AA9" s="497">
        <f t="shared" si="8"/>
        <v>7624.1607051326264</v>
      </c>
      <c r="AB9" s="497">
        <f t="shared" si="9"/>
        <v>8600.0752225709366</v>
      </c>
      <c r="AC9" s="497">
        <f t="shared" si="10"/>
        <v>9142.9318338716566</v>
      </c>
      <c r="AD9" s="496">
        <f t="shared" si="11"/>
        <v>9633.9477118218165</v>
      </c>
    </row>
    <row r="10" spans="2:36" s="452" customFormat="1" x14ac:dyDescent="0.25">
      <c r="B10" s="514" t="s">
        <v>193</v>
      </c>
      <c r="C10" s="501" t="s">
        <v>189</v>
      </c>
      <c r="D10" s="500"/>
      <c r="E10" s="497">
        <f>'[2]СПб +факт 2011'!I54/1000</f>
        <v>1402.9660000000001</v>
      </c>
      <c r="F10" s="497">
        <f>(SUM([3]модель!H$92:H$98)+[3]модель!H$65)/1000</f>
        <v>2283.721031355321</v>
      </c>
      <c r="G10" s="497">
        <f>(SUM([4]модель!$I$92:$I$98)+[4]модель!$I$65+[4]модель!$I$64)/1000</f>
        <v>4049.8763759309127</v>
      </c>
      <c r="H10" s="498">
        <f>(SUM([4]модель!$J$92:$J$98)+[4]модель!$J$65+[4]модель!$J$64)/1000</f>
        <v>4223.3482068606909</v>
      </c>
      <c r="I10" s="497">
        <f>(SUM([4]модель!$K$92:$K$98)+[4]модель!$K$65+[4]модель!$K$64)/1000</f>
        <v>7345.4625517978993</v>
      </c>
      <c r="J10" s="497">
        <f>(SUM([4]модель!$L$92:$L$98)+[4]модель!$L$65+[4]модель!$L$64)/1000</f>
        <v>2295.6268900032624</v>
      </c>
      <c r="K10" s="497">
        <f>(SUM([4]модель!$M$92:$M$98)+[4]модель!$M$65+[4]модель!$M$64)/1000</f>
        <v>1504.3681045600417</v>
      </c>
      <c r="L10" s="496">
        <f>(SUM([4]модель!$N$92:$N$98)+[4]модель!$N$65+[4]модель!$N$64)/1000</f>
        <v>425.66245512177812</v>
      </c>
      <c r="M10" s="500"/>
      <c r="N10" s="497">
        <f>'[2]ЛО '!$I$53/1000</f>
        <v>176.52317000000002</v>
      </c>
      <c r="O10" s="497">
        <f>'[5]утв ЛО 2014 '!$I$52/1000+(SUM('[5]утв ЛО 2014 '!$I$78:$I$82))/1000</f>
        <v>-234.62160584000003</v>
      </c>
      <c r="P10" s="497">
        <f>('[4]Тарифная модель ЛО'!$K$51+'[4]Тарифная модель ЛО'!$K$52+SUM('[4]Тарифная модель ЛО'!$J$80:$J$87))/1000</f>
        <v>384.27659556890512</v>
      </c>
      <c r="Q10" s="498">
        <f>('[4]Тарифная модель ЛО'!$L$51+'[4]Тарифная модель ЛО'!$L$52+SUM('[4]Тарифная модель ЛО'!$K$80:$K$87))/1000</f>
        <v>995.5323484280126</v>
      </c>
      <c r="R10" s="497">
        <f>('[4]Тарифная модель ЛО'!$M$51+'[4]Тарифная модель ЛО'!$M$52+SUM('[4]Тарифная модель ЛО'!$L$80:$L$87))/1000</f>
        <v>962.9336018068758</v>
      </c>
      <c r="S10" s="497">
        <f>('[4]Тарифная модель ЛО'!$N$51+'[4]Тарифная модель ЛО'!$N$52+SUM('[4]Тарифная модель ЛО'!$M$80:$M$87))/1000</f>
        <v>377.05289152837605</v>
      </c>
      <c r="T10" s="497">
        <f>('[4]Тарифная модель ЛО'!$O$51+'[4]Тарифная модель ЛО'!$O$52+SUM('[4]Тарифная модель ЛО'!$N$80:$N$87))/1000</f>
        <v>377.05289152837605</v>
      </c>
      <c r="U10" s="496">
        <f>('[4]Тарифная модель ЛО'!$P$51+'[4]Тарифная модель ЛО'!$P$52+SUM('[4]Тарифная модель ЛО'!$O$80:$O$87))/1000</f>
        <v>377.05289152837651</v>
      </c>
      <c r="V10" s="500">
        <f t="shared" si="3"/>
        <v>0</v>
      </c>
      <c r="W10" s="497">
        <f t="shared" si="4"/>
        <v>1579.4891700000001</v>
      </c>
      <c r="X10" s="497">
        <f t="shared" si="5"/>
        <v>2049.0994255153209</v>
      </c>
      <c r="Y10" s="497">
        <f t="shared" si="6"/>
        <v>4434.1529714998178</v>
      </c>
      <c r="Z10" s="498">
        <f t="shared" si="7"/>
        <v>5218.8805552887034</v>
      </c>
      <c r="AA10" s="497">
        <f t="shared" si="8"/>
        <v>8308.3961536047755</v>
      </c>
      <c r="AB10" s="497">
        <f t="shared" si="9"/>
        <v>2672.6797815316386</v>
      </c>
      <c r="AC10" s="497">
        <f t="shared" si="10"/>
        <v>1881.4209960884177</v>
      </c>
      <c r="AD10" s="496">
        <f t="shared" si="11"/>
        <v>802.71534665015463</v>
      </c>
    </row>
    <row r="11" spans="2:36" s="452" customFormat="1" x14ac:dyDescent="0.25">
      <c r="B11" s="514" t="s">
        <v>194</v>
      </c>
      <c r="C11" s="501" t="s">
        <v>189</v>
      </c>
      <c r="D11" s="500">
        <f>('[2]СПб +факт 2011'!H55-'[2]СПб +факт 2011'!H41)/1000</f>
        <v>1179.61112</v>
      </c>
      <c r="E11" s="497">
        <f>('[2]СПб +факт 2011'!I55-'[2]СПб +факт 2011'!I41-'[2]СПб +факт 2011'!$I$54)/1000</f>
        <v>861.2530246707413</v>
      </c>
      <c r="F11" s="497">
        <f>([3]модель!H$66-[3]модель!H$65-[3]модель!H$54)/1000</f>
        <v>1033.6866083759264</v>
      </c>
      <c r="G11" s="497">
        <f>([4]модель!$I$66-[4]модель!$I$65-[4]модель!$I$54)/1000</f>
        <v>1519.1216005912897</v>
      </c>
      <c r="H11" s="498">
        <f>([4]модель!$J$66-[4]модель!$J$65-[4]модель!$J$54)/1000</f>
        <v>3106.386255156352</v>
      </c>
      <c r="I11" s="497">
        <f>([4]модель!$K$66-[4]модель!$K$65-[4]модель!$K$54)/1000</f>
        <v>3678.7902515066535</v>
      </c>
      <c r="J11" s="497">
        <f>([4]модель!$L$66-[4]модель!$L$65-[4]модель!$L$54)/1000</f>
        <v>4636.413484888144</v>
      </c>
      <c r="K11" s="497">
        <f>([4]модель!$M$66-[4]модель!$M$65-[4]модель!$M$54)/1000</f>
        <v>5508.6954490813496</v>
      </c>
      <c r="L11" s="496">
        <f>([4]модель!$N$66-[4]модель!$N$65-[4]модель!$N$54)/1000</f>
        <v>6978.3538757734386</v>
      </c>
      <c r="M11" s="500">
        <f>('[2]ЛО '!H54-'[2]ЛО '!H42)/1000</f>
        <v>514.77570090177471</v>
      </c>
      <c r="N11" s="497">
        <f>('[2]ЛО '!I54-'[2]ЛО '!I42)/1000-N10</f>
        <v>429.02041890755561</v>
      </c>
      <c r="O11" s="497">
        <f>'[5]утв ЛО 2014 '!$I$53/1000-'[5]утв ЛО 2014 '!$I$41/1000-'[5]утв ЛО 2014 '!$I$52/1000</f>
        <v>504.14908000000008</v>
      </c>
      <c r="P11" s="497">
        <f>('[4]Тарифная модель ЛО'!$K$53-'[4]Тарифная модель ЛО'!$K$43-'[4]Тарифная модель ЛО'!$K$51-'[4]Тарифная модель ЛО'!$K$52)/1000</f>
        <v>574.94353863526089</v>
      </c>
      <c r="Q11" s="498">
        <f>('[4]Тарифная модель ЛО'!$L$53-'[4]Тарифная модель ЛО'!$L$43-'[4]Тарифная модель ЛО'!$L$51-'[4]Тарифная модель ЛО'!$L$52)/1000</f>
        <v>590.6813685886093</v>
      </c>
      <c r="R11" s="497">
        <f>('[4]Тарифная модель ЛО'!$M$53-'[4]Тарифная модель ЛО'!$M$43-'[4]Тарифная модель ЛО'!$M$51-'[4]Тарифная модель ЛО'!$M$52)/1000</f>
        <v>725.37962935506482</v>
      </c>
      <c r="S11" s="497">
        <f>('[4]Тарифная модель ЛО'!$N$53-'[4]Тарифная модель ЛО'!$N$43-'[4]Тарифная модель ЛО'!$N$51-'[4]Тарифная модель ЛО'!$N$52)/1000</f>
        <v>967.51631760472469</v>
      </c>
      <c r="T11" s="497">
        <f>('[4]Тарифная модель ЛО'!$O$53-'[4]Тарифная модель ЛО'!$O$43-'[4]Тарифная модель ЛО'!$O$51-'[4]Тарифная модель ЛО'!$O$52)/1000</f>
        <v>2364.9921265612361</v>
      </c>
      <c r="U11" s="496">
        <f>('[4]Тарифная модель ЛО'!$P$53-'[4]Тарифная модель ЛО'!$P$43-'[4]Тарифная модель ЛО'!$P$51-'[4]Тарифная модель ЛО'!$P$52)/1000</f>
        <v>4471.3200541073229</v>
      </c>
      <c r="V11" s="500">
        <f t="shared" si="3"/>
        <v>1694.3868209017746</v>
      </c>
      <c r="W11" s="497">
        <f t="shared" si="4"/>
        <v>1290.2734435782968</v>
      </c>
      <c r="X11" s="497">
        <f t="shared" si="5"/>
        <v>1537.8356883759266</v>
      </c>
      <c r="Y11" s="497">
        <f t="shared" si="6"/>
        <v>2094.0651392265509</v>
      </c>
      <c r="Z11" s="498">
        <f t="shared" si="7"/>
        <v>3697.0676237449616</v>
      </c>
      <c r="AA11" s="497">
        <f t="shared" si="8"/>
        <v>4404.1698808617184</v>
      </c>
      <c r="AB11" s="497">
        <f t="shared" si="9"/>
        <v>5603.9298024928685</v>
      </c>
      <c r="AC11" s="497">
        <f t="shared" si="10"/>
        <v>7873.6875756425852</v>
      </c>
      <c r="AD11" s="496">
        <f t="shared" si="11"/>
        <v>11449.673929880762</v>
      </c>
    </row>
    <row r="12" spans="2:36" s="452" customFormat="1" x14ac:dyDescent="0.25">
      <c r="B12" s="494" t="s">
        <v>195</v>
      </c>
      <c r="C12" s="493" t="s">
        <v>189</v>
      </c>
      <c r="D12" s="513">
        <f>'[2]СПб +факт 2011'!H77/1000</f>
        <v>3089.7043156989057</v>
      </c>
      <c r="E12" s="511">
        <f>'[2]СПб +факт 2011'!I77/1000</f>
        <v>3339.4260466842834</v>
      </c>
      <c r="F12" s="511">
        <f>[3]модель!H$88/1000</f>
        <v>3588.0760198448934</v>
      </c>
      <c r="G12" s="511">
        <f>[4]модель!$I$88/1000</f>
        <v>3937.0185169055444</v>
      </c>
      <c r="H12" s="512">
        <f>[4]модель!$J$88/1000</f>
        <v>3996.9963880876089</v>
      </c>
      <c r="I12" s="511">
        <f>[4]модель!$K$88/1000</f>
        <v>4379.9424788635151</v>
      </c>
      <c r="J12" s="511">
        <f>[4]модель!$L$88/1000</f>
        <v>4793.6457514704834</v>
      </c>
      <c r="K12" s="511">
        <f>[4]модель!$M$88/1000</f>
        <v>5156.0842810985541</v>
      </c>
      <c r="L12" s="510">
        <f>[4]модель!$N$88/1000</f>
        <v>5657.4790208652112</v>
      </c>
      <c r="M12" s="513">
        <f>'[2]ЛО '!G77/1000</f>
        <v>2066.775239970144</v>
      </c>
      <c r="N12" s="511">
        <f>'[2]ЛО '!H77/1000</f>
        <v>2128.4352439011977</v>
      </c>
      <c r="O12" s="511">
        <f>'[5]утв ЛО 2014 '!$I$76/1000</f>
        <v>2173.501337040926</v>
      </c>
      <c r="P12" s="511">
        <f>'[4]Тарифная модель ЛО'!$J$76/1000</f>
        <v>2393.5094045953138</v>
      </c>
      <c r="Q12" s="512">
        <f>'[4]Тарифная модель ЛО'!$K$76/1000</f>
        <v>2434.7694999079654</v>
      </c>
      <c r="R12" s="511">
        <f>'[4]Тарифная модель ЛО'!$L$76/1000</f>
        <v>2597.3613238402127</v>
      </c>
      <c r="S12" s="511">
        <f>'[4]Тарифная модель ЛО'!$M$76/1000</f>
        <v>2827.1283440625557</v>
      </c>
      <c r="T12" s="511">
        <f>'[4]Тарифная модель ЛО'!$N$76/1000</f>
        <v>3066.7083269625996</v>
      </c>
      <c r="U12" s="510">
        <f>'[4]Тарифная модель ЛО'!$O$76/1000</f>
        <v>3269.6738343139887</v>
      </c>
      <c r="V12" s="513">
        <f t="shared" si="3"/>
        <v>5156.4795556690497</v>
      </c>
      <c r="W12" s="511">
        <f t="shared" si="4"/>
        <v>5467.8612905854807</v>
      </c>
      <c r="X12" s="511">
        <f t="shared" si="5"/>
        <v>5761.5773568858194</v>
      </c>
      <c r="Y12" s="511">
        <f t="shared" si="6"/>
        <v>6330.5279215008577</v>
      </c>
      <c r="Z12" s="512">
        <f t="shared" si="7"/>
        <v>6431.7658879955743</v>
      </c>
      <c r="AA12" s="511">
        <f t="shared" si="8"/>
        <v>6977.3038027037273</v>
      </c>
      <c r="AB12" s="511">
        <f t="shared" si="9"/>
        <v>7620.7740955330391</v>
      </c>
      <c r="AC12" s="511">
        <f t="shared" si="10"/>
        <v>8222.7926080611542</v>
      </c>
      <c r="AD12" s="510">
        <f t="shared" si="11"/>
        <v>8927.1528551791998</v>
      </c>
    </row>
    <row r="13" spans="2:36" s="452" customFormat="1" x14ac:dyDescent="0.25">
      <c r="B13" s="494" t="s">
        <v>196</v>
      </c>
      <c r="C13" s="493" t="s">
        <v>189</v>
      </c>
      <c r="D13" s="513">
        <f>'[2]СПб +факт 2011'!H78/1000</f>
        <v>1494.0656941450657</v>
      </c>
      <c r="E13" s="511">
        <f>'[2]СПб +факт 2011'!I78/1000</f>
        <v>2289.9207835216307</v>
      </c>
      <c r="F13" s="511">
        <f>[3]модель!H$89/1000</f>
        <v>3173.2699751762589</v>
      </c>
      <c r="G13" s="511">
        <f>[4]модель!$I$89/1000</f>
        <v>4432.707581685132</v>
      </c>
      <c r="H13" s="512">
        <f>[4]модель!$J$89/1000</f>
        <v>4521.4657031249717</v>
      </c>
      <c r="I13" s="511">
        <f>[4]модель!$K$89/1000</f>
        <v>5855.2761302708032</v>
      </c>
      <c r="J13" s="511">
        <f>[4]модель!$L$89/1000</f>
        <v>7266.2342900032845</v>
      </c>
      <c r="K13" s="511">
        <f>[4]модель!$M$89/1000</f>
        <v>8424.5238362025884</v>
      </c>
      <c r="L13" s="510">
        <f>[4]модель!$N$89/1000</f>
        <v>12341.336824318223</v>
      </c>
      <c r="M13" s="513">
        <f>'[2]ЛО '!G78/1000</f>
        <v>589.38925971405399</v>
      </c>
      <c r="N13" s="511">
        <f>'[2]ЛО '!H78/1000</f>
        <v>750.20431627180119</v>
      </c>
      <c r="O13" s="511">
        <f>'[5]утв ЛО 2014 '!$I$77/1000</f>
        <v>893.87627761771648</v>
      </c>
      <c r="P13" s="511">
        <f>'[4]Тарифная модель ЛО'!$J$77/1000</f>
        <v>1701.2720899231633</v>
      </c>
      <c r="Q13" s="512">
        <f>'[4]Тарифная модель ЛО'!$K$77/1000</f>
        <v>1818.3830272330445</v>
      </c>
      <c r="R13" s="511">
        <f>'[4]Тарифная модель ЛО'!$L$77/1000</f>
        <v>2366.0954753603369</v>
      </c>
      <c r="S13" s="511">
        <f>'[4]Тарифная модель ЛО'!$M$77/1000</f>
        <v>3177.1601387127903</v>
      </c>
      <c r="T13" s="511">
        <f>'[4]Тарифная модель ЛО'!$N$77/1000</f>
        <v>3996.2573675394938</v>
      </c>
      <c r="U13" s="510">
        <f>'[4]Тарифная модель ЛО'!$O$77/1000</f>
        <v>5252.4258880932121</v>
      </c>
      <c r="V13" s="513">
        <f t="shared" si="3"/>
        <v>2083.4549538591195</v>
      </c>
      <c r="W13" s="511">
        <f t="shared" si="4"/>
        <v>3040.1250997934321</v>
      </c>
      <c r="X13" s="511">
        <f t="shared" si="5"/>
        <v>4067.1462527939752</v>
      </c>
      <c r="Y13" s="511">
        <f t="shared" si="6"/>
        <v>6133.9796716082956</v>
      </c>
      <c r="Z13" s="512">
        <f t="shared" si="7"/>
        <v>6339.8487303580159</v>
      </c>
      <c r="AA13" s="511">
        <f t="shared" si="8"/>
        <v>8221.3716056311405</v>
      </c>
      <c r="AB13" s="511">
        <f t="shared" si="9"/>
        <v>10443.394428716074</v>
      </c>
      <c r="AC13" s="511">
        <f t="shared" si="10"/>
        <v>12420.781203742083</v>
      </c>
      <c r="AD13" s="510">
        <f t="shared" si="11"/>
        <v>17593.762712411437</v>
      </c>
    </row>
    <row r="14" spans="2:36" s="452" customFormat="1" x14ac:dyDescent="0.25">
      <c r="B14" s="494" t="s">
        <v>197</v>
      </c>
      <c r="C14" s="493" t="s">
        <v>189</v>
      </c>
      <c r="D14" s="513">
        <f>'[2]СПб +факт 2011'!H79/1000</f>
        <v>-1369.1681771719054</v>
      </c>
      <c r="E14" s="511">
        <f>'[2]СПб +факт 2011'!I79/1000</f>
        <v>-1851.8812598138923</v>
      </c>
      <c r="F14" s="511">
        <f>[3]модель!H$99/1000</f>
        <v>-1082.4127166415838</v>
      </c>
      <c r="G14" s="511">
        <f>[4]модель!$I$101/1000</f>
        <v>-2691.359194906855</v>
      </c>
      <c r="H14" s="512">
        <f>[4]модель!$J$101/1000</f>
        <v>2484.5492677686784</v>
      </c>
      <c r="I14" s="511">
        <f>[4]модель!$K$101/1000</f>
        <v>-1213.1164293709421</v>
      </c>
      <c r="J14" s="511">
        <f>[4]модель!$L$101/1000</f>
        <v>3360.7837674093066</v>
      </c>
      <c r="K14" s="511">
        <f>[4]модель!$M$101/1000</f>
        <v>5362.0083718702654</v>
      </c>
      <c r="L14" s="510">
        <f>[4]модель!$N$101/1000</f>
        <v>8220.1608719230571</v>
      </c>
      <c r="M14" s="513">
        <f>'[2]ЛО '!G79/1000</f>
        <v>-2055.02356683876</v>
      </c>
      <c r="N14" s="511">
        <f>'[2]ЛО '!H79/1000</f>
        <v>-244.53776585228673</v>
      </c>
      <c r="O14" s="511">
        <f>'[5]утв ЛО 2014 '!$I$83/1000</f>
        <v>-919.26400000000001</v>
      </c>
      <c r="P14" s="511">
        <f>'[4]Тарифная модель ЛО'!$J$88/1000</f>
        <v>-1271.99431818125</v>
      </c>
      <c r="Q14" s="512">
        <f>'[4]Тарифная модель ЛО'!$K$88/1000</f>
        <v>-1226.59998</v>
      </c>
      <c r="R14" s="511">
        <f>'[4]Тарифная модель ЛО'!$L$88/1000</f>
        <v>-1488.8619699999999</v>
      </c>
      <c r="S14" s="511">
        <f>'[4]Тарифная модель ЛО'!$M$88/1000</f>
        <v>1682.3329607757178</v>
      </c>
      <c r="T14" s="511">
        <f>'[4]Тарифная модель ЛО'!$N$88/1000</f>
        <v>6540.5495733215148</v>
      </c>
      <c r="U14" s="510">
        <f>'[4]Тарифная модель ЛО'!$O$88/1000</f>
        <v>13243.54260054398</v>
      </c>
      <c r="V14" s="513">
        <f t="shared" si="3"/>
        <v>-3424.1917440106654</v>
      </c>
      <c r="W14" s="511">
        <f t="shared" si="4"/>
        <v>-2096.4190256661791</v>
      </c>
      <c r="X14" s="511">
        <f t="shared" si="5"/>
        <v>-2001.6767166415839</v>
      </c>
      <c r="Y14" s="511">
        <f t="shared" si="6"/>
        <v>-3963.353513088105</v>
      </c>
      <c r="Z14" s="512">
        <f t="shared" si="7"/>
        <v>1257.9492877686785</v>
      </c>
      <c r="AA14" s="511">
        <f t="shared" si="8"/>
        <v>-2701.978399370942</v>
      </c>
      <c r="AB14" s="511">
        <f t="shared" si="9"/>
        <v>5043.1167281850248</v>
      </c>
      <c r="AC14" s="511">
        <f t="shared" si="10"/>
        <v>11902.55794519178</v>
      </c>
      <c r="AD14" s="510">
        <f t="shared" si="11"/>
        <v>21463.703472467037</v>
      </c>
    </row>
    <row r="15" spans="2:36" s="452" customFormat="1" ht="15.75" x14ac:dyDescent="0.25">
      <c r="B15" s="509" t="s">
        <v>198</v>
      </c>
      <c r="C15" s="508" t="s">
        <v>189</v>
      </c>
      <c r="D15" s="507">
        <f t="shared" ref="D15:U15" si="13">D5+D6+D12+D13+D14</f>
        <v>19054.204524647263</v>
      </c>
      <c r="E15" s="505">
        <f t="shared" si="13"/>
        <v>22851.84384933245</v>
      </c>
      <c r="F15" s="505">
        <f t="shared" si="13"/>
        <v>26425.435165695664</v>
      </c>
      <c r="G15" s="505">
        <f t="shared" si="13"/>
        <v>30174.435865405216</v>
      </c>
      <c r="H15" s="506">
        <f t="shared" si="13"/>
        <v>38259.6657914116</v>
      </c>
      <c r="I15" s="505">
        <f t="shared" si="13"/>
        <v>40260.354036848388</v>
      </c>
      <c r="J15" s="505">
        <f t="shared" si="13"/>
        <v>44088.0610780602</v>
      </c>
      <c r="K15" s="505">
        <f t="shared" si="13"/>
        <v>48669.038599961772</v>
      </c>
      <c r="L15" s="504">
        <f t="shared" si="13"/>
        <v>56369.632550167618</v>
      </c>
      <c r="M15" s="507">
        <f t="shared" si="13"/>
        <v>12952.726547513592</v>
      </c>
      <c r="N15" s="505">
        <f t="shared" si="13"/>
        <v>14129.707654044909</v>
      </c>
      <c r="O15" s="505">
        <f t="shared" si="13"/>
        <v>16069.933412764512</v>
      </c>
      <c r="P15" s="505">
        <f t="shared" si="13"/>
        <v>17375.033166134868</v>
      </c>
      <c r="Q15" s="506">
        <f t="shared" si="13"/>
        <v>20456.157878656639</v>
      </c>
      <c r="R15" s="505">
        <f t="shared" si="13"/>
        <v>22035.205319273497</v>
      </c>
      <c r="S15" s="505">
        <f t="shared" si="13"/>
        <v>26975.55620583734</v>
      </c>
      <c r="T15" s="505">
        <f t="shared" si="13"/>
        <v>35019.191966185499</v>
      </c>
      <c r="U15" s="504">
        <f t="shared" si="13"/>
        <v>45824.435685706245</v>
      </c>
      <c r="V15" s="507">
        <f t="shared" si="3"/>
        <v>32006.931072160856</v>
      </c>
      <c r="W15" s="505">
        <f t="shared" si="4"/>
        <v>36981.551503377355</v>
      </c>
      <c r="X15" s="505">
        <f t="shared" si="5"/>
        <v>42495.368578460177</v>
      </c>
      <c r="Y15" s="505">
        <f t="shared" si="6"/>
        <v>47549.46903154008</v>
      </c>
      <c r="Z15" s="506">
        <f t="shared" si="7"/>
        <v>58715.823670068239</v>
      </c>
      <c r="AA15" s="505">
        <f t="shared" si="8"/>
        <v>62295.559356121885</v>
      </c>
      <c r="AB15" s="505">
        <f t="shared" si="9"/>
        <v>71063.617283897533</v>
      </c>
      <c r="AC15" s="505">
        <f t="shared" si="10"/>
        <v>83688.230566147278</v>
      </c>
      <c r="AD15" s="504">
        <f t="shared" si="11"/>
        <v>102194.06823587386</v>
      </c>
      <c r="AE15" s="503"/>
      <c r="AF15" s="503"/>
      <c r="AG15" s="503"/>
      <c r="AH15" s="503"/>
      <c r="AI15" s="503"/>
      <c r="AJ15" s="503"/>
    </row>
    <row r="16" spans="2:36" s="452" customFormat="1" x14ac:dyDescent="0.25">
      <c r="B16" s="502" t="s">
        <v>199</v>
      </c>
      <c r="C16" s="501" t="s">
        <v>200</v>
      </c>
      <c r="D16" s="500">
        <f>'[5]утв СПб 2014'!G223</f>
        <v>19226.517</v>
      </c>
      <c r="E16" s="499">
        <f>'[5]утв СПб 2014'!H223</f>
        <v>19463.457000000002</v>
      </c>
      <c r="F16" s="497">
        <f>'[5]утв СПб 2014'!I223</f>
        <v>18676</v>
      </c>
      <c r="G16" s="497">
        <f>[4]модель!$I$256</f>
        <v>17462.429600000003</v>
      </c>
      <c r="H16" s="498">
        <f>[4]модель!$J$256</f>
        <v>18255.430357999998</v>
      </c>
      <c r="I16" s="497">
        <f>[4]модель!$K$256</f>
        <v>17902.943100800007</v>
      </c>
      <c r="J16" s="497">
        <f>[4]модель!$L$256</f>
        <v>18448.056309104006</v>
      </c>
      <c r="K16" s="497">
        <f>[4]модель!$M$256</f>
        <v>18624.35145860945</v>
      </c>
      <c r="L16" s="496">
        <f>[4]модель!$N$256</f>
        <v>18802.24585133823</v>
      </c>
      <c r="M16" s="500">
        <f>'[5]утв ЛО 2014 '!$G$206</f>
        <v>11058.605621104893</v>
      </c>
      <c r="N16" s="499">
        <f>'[5]утв ЛО 2014 '!$H$206</f>
        <v>12384.19197</v>
      </c>
      <c r="O16" s="497">
        <f>'[5]утв ЛО 2014 '!$I$206</f>
        <v>12233.465038027585</v>
      </c>
      <c r="P16" s="497">
        <f>'[4]Тарифная модель ЛО'!$J$212</f>
        <v>12067.01</v>
      </c>
      <c r="Q16" s="498">
        <f>'[4]Тарифная модель ЛО'!$K$212</f>
        <v>12162.9894</v>
      </c>
      <c r="R16" s="497">
        <f>'[4]Тарифная модель ЛО'!$L$212</f>
        <v>12436.033000000001</v>
      </c>
      <c r="S16" s="497">
        <f>'[4]Тарифная модель ЛО'!$M$212</f>
        <v>12550.076477214716</v>
      </c>
      <c r="T16" s="497">
        <f>'[4]Тарифная модель ЛО'!$N$212</f>
        <v>12892.036032184824</v>
      </c>
      <c r="U16" s="496">
        <f>'[4]Тарифная модель ЛО'!$O$212</f>
        <v>13251.357138386929</v>
      </c>
      <c r="V16" s="500">
        <f t="shared" si="3"/>
        <v>30285.122621104892</v>
      </c>
      <c r="W16" s="499">
        <f t="shared" si="4"/>
        <v>31847.648970000002</v>
      </c>
      <c r="X16" s="497">
        <f t="shared" si="5"/>
        <v>30909.465038027585</v>
      </c>
      <c r="Y16" s="497">
        <f t="shared" si="6"/>
        <v>29529.439600000005</v>
      </c>
      <c r="Z16" s="498">
        <f t="shared" si="7"/>
        <v>30418.419757999996</v>
      </c>
      <c r="AA16" s="497">
        <f t="shared" si="8"/>
        <v>30338.976100800006</v>
      </c>
      <c r="AB16" s="497">
        <f t="shared" si="9"/>
        <v>30998.132786318722</v>
      </c>
      <c r="AC16" s="497">
        <f t="shared" si="10"/>
        <v>31516.387490794274</v>
      </c>
      <c r="AD16" s="496">
        <f t="shared" si="11"/>
        <v>32053.602989725157</v>
      </c>
      <c r="AE16" s="495"/>
      <c r="AF16" s="495"/>
      <c r="AG16" s="495"/>
      <c r="AH16" s="495"/>
      <c r="AI16" s="495"/>
      <c r="AJ16" s="495"/>
    </row>
    <row r="17" spans="2:30" s="452" customFormat="1" x14ac:dyDescent="0.25">
      <c r="B17" s="494" t="s">
        <v>211</v>
      </c>
      <c r="C17" s="493" t="s">
        <v>201</v>
      </c>
      <c r="D17" s="492">
        <f t="shared" ref="D17:L17" si="14">D15/D16*100</f>
        <v>99.103776958911823</v>
      </c>
      <c r="E17" s="490">
        <f t="shared" si="14"/>
        <v>117.40896722166288</v>
      </c>
      <c r="F17" s="490">
        <f t="shared" si="14"/>
        <v>141.49408420269685</v>
      </c>
      <c r="G17" s="490">
        <f t="shared" si="14"/>
        <v>172.79632076744468</v>
      </c>
      <c r="H17" s="491">
        <f t="shared" si="14"/>
        <v>209.57964310408727</v>
      </c>
      <c r="I17" s="490">
        <f t="shared" si="14"/>
        <v>224.88120422529479</v>
      </c>
      <c r="J17" s="490">
        <f t="shared" si="14"/>
        <v>238.98485747955465</v>
      </c>
      <c r="K17" s="490">
        <f t="shared" si="14"/>
        <v>261.31937376785066</v>
      </c>
      <c r="L17" s="489">
        <f t="shared" si="14"/>
        <v>299.80265653294589</v>
      </c>
      <c r="M17" s="492">
        <f>'[2]ЛО '!G203</f>
        <v>117.1280267269306</v>
      </c>
      <c r="N17" s="490">
        <f t="shared" ref="N17:AD17" si="15">N15/N16*100</f>
        <v>114.09470790079257</v>
      </c>
      <c r="O17" s="490">
        <f t="shared" si="15"/>
        <v>131.36043927710841</v>
      </c>
      <c r="P17" s="490">
        <f t="shared" si="15"/>
        <v>143.98789067163173</v>
      </c>
      <c r="Q17" s="491">
        <f t="shared" si="15"/>
        <v>168.18363648871252</v>
      </c>
      <c r="R17" s="490">
        <f t="shared" si="15"/>
        <v>177.18837927877397</v>
      </c>
      <c r="S17" s="490">
        <f t="shared" si="15"/>
        <v>214.94336114056992</v>
      </c>
      <c r="T17" s="490">
        <f t="shared" si="15"/>
        <v>271.6343010426009</v>
      </c>
      <c r="U17" s="489">
        <f t="shared" si="15"/>
        <v>345.80937791617316</v>
      </c>
      <c r="V17" s="492">
        <f t="shared" si="15"/>
        <v>105.68532765277985</v>
      </c>
      <c r="W17" s="490">
        <f t="shared" si="15"/>
        <v>116.12019316783292</v>
      </c>
      <c r="X17" s="490">
        <f t="shared" si="15"/>
        <v>137.48335186706913</v>
      </c>
      <c r="Y17" s="490">
        <f t="shared" si="15"/>
        <v>161.023946528061</v>
      </c>
      <c r="Z17" s="491">
        <f t="shared" si="15"/>
        <v>193.0271991023665</v>
      </c>
      <c r="AA17" s="490">
        <f t="shared" si="15"/>
        <v>205.33177899329047</v>
      </c>
      <c r="AB17" s="490">
        <f t="shared" si="15"/>
        <v>229.25128353299408</v>
      </c>
      <c r="AC17" s="490">
        <f t="shared" si="15"/>
        <v>265.53877912115416</v>
      </c>
      <c r="AD17" s="489">
        <f t="shared" si="15"/>
        <v>318.82240591995964</v>
      </c>
    </row>
    <row r="18" spans="2:30" ht="15.75" thickBot="1" x14ac:dyDescent="0.3">
      <c r="B18" s="488" t="s">
        <v>202</v>
      </c>
      <c r="C18" s="487" t="s">
        <v>203</v>
      </c>
      <c r="D18" s="486">
        <f>D17/'[5]утв СПб 2014'!$F$224-1</f>
        <v>1.9945722328225113E-3</v>
      </c>
      <c r="E18" s="484">
        <f t="shared" ref="E18:L18" si="16">E17/D17-1</f>
        <v>0.18470729193641477</v>
      </c>
      <c r="F18" s="484">
        <f t="shared" si="16"/>
        <v>0.20513864955103767</v>
      </c>
      <c r="G18" s="484">
        <f t="shared" si="16"/>
        <v>0.22122646852080341</v>
      </c>
      <c r="H18" s="485">
        <f t="shared" si="16"/>
        <v>0.21287098112550007</v>
      </c>
      <c r="I18" s="484">
        <f t="shared" si="16"/>
        <v>7.3010722294283292E-2</v>
      </c>
      <c r="J18" s="484">
        <f t="shared" si="16"/>
        <v>6.2716016231086469E-2</v>
      </c>
      <c r="K18" s="484">
        <f t="shared" si="16"/>
        <v>9.3455780101911801E-2</v>
      </c>
      <c r="L18" s="483">
        <f t="shared" si="16"/>
        <v>0.14726532598873732</v>
      </c>
      <c r="M18" s="486">
        <f>'[5]утв ЛО 2014 '!$G$211</f>
        <v>3.1275831885582361E-2</v>
      </c>
      <c r="N18" s="484">
        <f>'[2]ЛО '!H204</f>
        <v>-2.5897463748875915E-2</v>
      </c>
      <c r="O18" s="484">
        <f t="shared" ref="O18:U18" si="17">O17/N17-1</f>
        <v>0.15132806502584417</v>
      </c>
      <c r="P18" s="484">
        <f t="shared" si="17"/>
        <v>9.6128267110049626E-2</v>
      </c>
      <c r="Q18" s="485">
        <f t="shared" si="17"/>
        <v>0.16804014354415298</v>
      </c>
      <c r="R18" s="484">
        <f t="shared" si="17"/>
        <v>5.354113502395208E-2</v>
      </c>
      <c r="S18" s="484">
        <f t="shared" si="17"/>
        <v>0.21307820532855204</v>
      </c>
      <c r="T18" s="484">
        <f t="shared" si="17"/>
        <v>0.26374827117807986</v>
      </c>
      <c r="U18" s="483">
        <f t="shared" si="17"/>
        <v>0.27306962555490832</v>
      </c>
      <c r="V18" s="486">
        <f>V17/'[6]НВВ 2011-2015 изм'!$V$18-1</f>
        <v>2.5812939707199334E-2</v>
      </c>
      <c r="W18" s="484">
        <f t="shared" ref="W18:AD18" si="18">W17/V17-1</f>
        <v>9.8735233611007445E-2</v>
      </c>
      <c r="X18" s="484">
        <f t="shared" si="18"/>
        <v>0.18397453635268435</v>
      </c>
      <c r="Y18" s="484">
        <f t="shared" si="18"/>
        <v>0.17122505627992668</v>
      </c>
      <c r="Z18" s="485">
        <f t="shared" si="18"/>
        <v>0.19874840521765758</v>
      </c>
      <c r="AA18" s="484">
        <f t="shared" si="18"/>
        <v>6.3745316453556411E-2</v>
      </c>
      <c r="AB18" s="484">
        <f t="shared" si="18"/>
        <v>0.11649197536288436</v>
      </c>
      <c r="AC18" s="484">
        <f t="shared" si="18"/>
        <v>0.15828698984334166</v>
      </c>
      <c r="AD18" s="483">
        <f t="shared" si="18"/>
        <v>0.200662317478286</v>
      </c>
    </row>
    <row r="19" spans="2:30" x14ac:dyDescent="0.25">
      <c r="B19" s="482" t="s">
        <v>285</v>
      </c>
      <c r="C19" s="481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</row>
    <row r="20" spans="2:30" x14ac:dyDescent="0.25">
      <c r="B20" s="482"/>
      <c r="C20" s="481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</row>
    <row r="21" spans="2:30" ht="15.75" thickBot="1" x14ac:dyDescent="0.3">
      <c r="B21" s="479" t="s">
        <v>204</v>
      </c>
      <c r="C21" s="478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</row>
    <row r="22" spans="2:30" ht="30" x14ac:dyDescent="0.25">
      <c r="B22" s="476" t="s">
        <v>205</v>
      </c>
      <c r="C22" s="475" t="s">
        <v>189</v>
      </c>
      <c r="D22" s="474">
        <f>[7]Лист1!C$71</f>
        <v>107891.13136608485</v>
      </c>
      <c r="E22" s="472">
        <f>[7]Лист1!D$71</f>
        <v>116852.1429507705</v>
      </c>
      <c r="F22" s="472">
        <f>[7]Лист1!E$71</f>
        <v>126732.00741020666</v>
      </c>
      <c r="G22" s="472">
        <f>[8]Лист1!$F$71</f>
        <v>137811.3513612964</v>
      </c>
      <c r="H22" s="473">
        <f>[8]Лист1!$G$71</f>
        <v>137715.59875280436</v>
      </c>
      <c r="I22" s="472">
        <f>[8]Лист1!$H$71</f>
        <v>142916.12341995435</v>
      </c>
      <c r="J22" s="472">
        <f>[4]модель!L$114/1000</f>
        <v>167936.9008224823</v>
      </c>
      <c r="K22" s="472">
        <f>[4]модель!M$114/1000</f>
        <v>180622.2493594648</v>
      </c>
      <c r="L22" s="472">
        <f>[4]модель!N$114/1000</f>
        <v>198171.06525129778</v>
      </c>
      <c r="M22" s="474">
        <f>[7]Лист1!H71</f>
        <v>72068.190858448812</v>
      </c>
      <c r="N22" s="472">
        <f>[7]Лист1!I71</f>
        <v>74567.30318649979</v>
      </c>
      <c r="O22" s="472">
        <f>[7]Лист1!J71</f>
        <v>77133.259406574056</v>
      </c>
      <c r="P22" s="472">
        <f>[8]Лист1!$L$71</f>
        <v>83618.694992429737</v>
      </c>
      <c r="Q22" s="473">
        <f>[8]Лист1!$M$71</f>
        <v>84021.561689595081</v>
      </c>
      <c r="R22" s="472">
        <f>[8]Лист1!$N$71</f>
        <v>88433.935554900119</v>
      </c>
      <c r="S22" s="472">
        <f>'[4]Тарифная модель ЛО'!M$95/1000</f>
        <v>98920.646797425783</v>
      </c>
      <c r="T22" s="472">
        <f>'[4]Тарифная модель ЛО'!N$95/1000</f>
        <v>107305.94619892731</v>
      </c>
      <c r="U22" s="472">
        <f>'[4]Тарифная модель ЛО'!O$95/1000</f>
        <v>114409.73895622592</v>
      </c>
      <c r="V22" s="474">
        <f t="shared" ref="V22:AD23" si="19">M22+D22</f>
        <v>179959.32222453365</v>
      </c>
      <c r="W22" s="472">
        <f t="shared" si="19"/>
        <v>191419.44613727031</v>
      </c>
      <c r="X22" s="472">
        <f t="shared" si="19"/>
        <v>203865.26681678073</v>
      </c>
      <c r="Y22" s="472">
        <f t="shared" si="19"/>
        <v>221430.04635372612</v>
      </c>
      <c r="Z22" s="473">
        <f t="shared" si="19"/>
        <v>221737.16044239944</v>
      </c>
      <c r="AA22" s="472">
        <f t="shared" si="19"/>
        <v>231350.05897485447</v>
      </c>
      <c r="AB22" s="472">
        <f t="shared" si="19"/>
        <v>266857.54761990812</v>
      </c>
      <c r="AC22" s="472">
        <f t="shared" si="19"/>
        <v>287928.19555839209</v>
      </c>
      <c r="AD22" s="471">
        <f t="shared" si="19"/>
        <v>312580.8042075237</v>
      </c>
    </row>
    <row r="23" spans="2:30" ht="30" x14ac:dyDescent="0.25">
      <c r="B23" s="451" t="s">
        <v>206</v>
      </c>
      <c r="C23" s="444" t="s">
        <v>189</v>
      </c>
      <c r="D23" s="449">
        <f>[7]Лист1!C$72</f>
        <v>53489.356333266303</v>
      </c>
      <c r="E23" s="447">
        <f>[7]Лист1!D$72</f>
        <v>59383.53028250832</v>
      </c>
      <c r="F23" s="447">
        <f>[7]Лист1!E$72</f>
        <v>65978.745215015078</v>
      </c>
      <c r="G23" s="447">
        <f>[8]Лист1!$F$72</f>
        <v>73443.651305246516</v>
      </c>
      <c r="H23" s="448">
        <f>[8]Лист1!$G$72</f>
        <v>69464.224356556224</v>
      </c>
      <c r="I23" s="447">
        <f>[8]Лист1!$H$72</f>
        <v>70916.872572281893</v>
      </c>
      <c r="J23" s="447">
        <f>[4]модель!L$115/1000</f>
        <v>91182.064439289446</v>
      </c>
      <c r="K23" s="447">
        <f>[4]модель!M$115/1000</f>
        <v>99073.767224801428</v>
      </c>
      <c r="L23" s="447">
        <f>[4]модель!N$115/1000</f>
        <v>111466.49883553584</v>
      </c>
      <c r="M23" s="449">
        <f>[7]Лист1!H72</f>
        <v>24447.220309170203</v>
      </c>
      <c r="N23" s="447">
        <f>[7]Лист1!I72</f>
        <v>24894.520186211448</v>
      </c>
      <c r="O23" s="447">
        <f>[7]Лист1!J72</f>
        <v>25339.891981762383</v>
      </c>
      <c r="P23" s="447">
        <f>[8]Лист1!$L$72</f>
        <v>29648.46315040722</v>
      </c>
      <c r="Q23" s="448">
        <f>[8]Лист1!$M$72</f>
        <v>27772.491389914372</v>
      </c>
      <c r="R23" s="447">
        <f>[8]Лист1!$N$72</f>
        <v>29829.228101041092</v>
      </c>
      <c r="S23" s="447">
        <f>'[4]Тарифная модель ЛО'!M$110/1000</f>
        <v>37684.350487815726</v>
      </c>
      <c r="T23" s="447">
        <f>'[4]Тарифная модель ЛО'!N$110/1000</f>
        <v>43242.521545254705</v>
      </c>
      <c r="U23" s="447">
        <f>'[4]Тарифная модель ЛО'!O$110/1000</f>
        <v>47279.605975590712</v>
      </c>
      <c r="V23" s="449">
        <f t="shared" si="19"/>
        <v>77936.576642436499</v>
      </c>
      <c r="W23" s="447">
        <f t="shared" si="19"/>
        <v>84278.050468719768</v>
      </c>
      <c r="X23" s="447">
        <f t="shared" si="19"/>
        <v>91318.637196777461</v>
      </c>
      <c r="Y23" s="447">
        <f t="shared" si="19"/>
        <v>103092.11445565373</v>
      </c>
      <c r="Z23" s="448">
        <f t="shared" si="19"/>
        <v>97236.715746470596</v>
      </c>
      <c r="AA23" s="447">
        <f t="shared" si="19"/>
        <v>100746.10067332299</v>
      </c>
      <c r="AB23" s="447">
        <f t="shared" si="19"/>
        <v>128866.41492710517</v>
      </c>
      <c r="AC23" s="447">
        <f t="shared" si="19"/>
        <v>142316.28877005613</v>
      </c>
      <c r="AD23" s="446">
        <f t="shared" si="19"/>
        <v>158746.10481112654</v>
      </c>
    </row>
    <row r="24" spans="2:30" ht="30" x14ac:dyDescent="0.25">
      <c r="B24" s="451" t="s">
        <v>207</v>
      </c>
      <c r="C24" s="444" t="s">
        <v>203</v>
      </c>
      <c r="D24" s="442">
        <f>'[9]утв СПб 2014'!$G$118</f>
        <v>0.01</v>
      </c>
      <c r="E24" s="440">
        <f>'[9]утв СПб 2014'!$H$118</f>
        <v>0.01</v>
      </c>
      <c r="F24" s="440">
        <f>'[5]утв СПб 2014'!$I$118</f>
        <v>0.01</v>
      </c>
      <c r="G24" s="440">
        <f>[4]модель!$I$131</f>
        <v>0.01</v>
      </c>
      <c r="H24" s="441">
        <f>[4]модель!$J$131</f>
        <v>0.01</v>
      </c>
      <c r="I24" s="440">
        <f>[4]модель!$K$131</f>
        <v>0.01</v>
      </c>
      <c r="J24" s="440">
        <f>[4]модель!$L$131</f>
        <v>0.01</v>
      </c>
      <c r="K24" s="440">
        <f>[4]модель!$M$131</f>
        <v>0.01</v>
      </c>
      <c r="L24" s="443">
        <f>[4]модель!$N$131</f>
        <v>0.11</v>
      </c>
      <c r="M24" s="442">
        <f>'[9]утв ЛО 2014 '!$G$105</f>
        <v>0.01</v>
      </c>
      <c r="N24" s="440">
        <f>'[9]утв ЛО 2014 '!$H$105</f>
        <v>0.01</v>
      </c>
      <c r="O24" s="440">
        <f>'[5]утв ЛО 2014 '!$I$105</f>
        <v>0.01</v>
      </c>
      <c r="P24" s="440">
        <f>'[4]Тарифная модель ЛО'!J$112</f>
        <v>0.01</v>
      </c>
      <c r="Q24" s="441">
        <f>'[4]Тарифная модель ЛО'!K$112</f>
        <v>0.01</v>
      </c>
      <c r="R24" s="440">
        <f>'[4]Тарифная модель ЛО'!L$112</f>
        <v>0.01</v>
      </c>
      <c r="S24" s="440">
        <f>'[4]Тарифная модель ЛО'!M$112</f>
        <v>0.01</v>
      </c>
      <c r="T24" s="440">
        <f>'[4]Тарифная модель ЛО'!N$112</f>
        <v>0.01</v>
      </c>
      <c r="U24" s="440">
        <f>'[4]Тарифная модель ЛО'!O$112</f>
        <v>0.11</v>
      </c>
      <c r="V24" s="442">
        <f t="shared" ref="V24:AD25" si="20">M24</f>
        <v>0.01</v>
      </c>
      <c r="W24" s="440">
        <f t="shared" si="20"/>
        <v>0.01</v>
      </c>
      <c r="X24" s="440">
        <f t="shared" si="20"/>
        <v>0.01</v>
      </c>
      <c r="Y24" s="440">
        <f t="shared" si="20"/>
        <v>0.01</v>
      </c>
      <c r="Z24" s="441">
        <f t="shared" si="20"/>
        <v>0.01</v>
      </c>
      <c r="AA24" s="440">
        <f t="shared" si="20"/>
        <v>0.01</v>
      </c>
      <c r="AB24" s="440">
        <f t="shared" si="20"/>
        <v>0.01</v>
      </c>
      <c r="AC24" s="440">
        <f t="shared" si="20"/>
        <v>0.01</v>
      </c>
      <c r="AD24" s="439">
        <f t="shared" si="20"/>
        <v>0.11</v>
      </c>
    </row>
    <row r="25" spans="2:30" ht="30" x14ac:dyDescent="0.25">
      <c r="B25" s="451" t="s">
        <v>208</v>
      </c>
      <c r="C25" s="444" t="s">
        <v>203</v>
      </c>
      <c r="D25" s="442">
        <f>'[9]утв СПб 2014'!$G$119</f>
        <v>0.12</v>
      </c>
      <c r="E25" s="440">
        <f>'[9]утв СПб 2014'!$H$119</f>
        <v>0.11</v>
      </c>
      <c r="F25" s="440">
        <f>'[5]утв СПб 2014'!$I$119</f>
        <v>0.11</v>
      </c>
      <c r="G25" s="440">
        <f>[4]модель!$I$132</f>
        <v>0.11</v>
      </c>
      <c r="H25" s="441">
        <f>[4]модель!$J$132</f>
        <v>0.11</v>
      </c>
      <c r="I25" s="440">
        <f>[4]модель!$K$132</f>
        <v>0.11</v>
      </c>
      <c r="J25" s="440">
        <f>[4]модель!$L$132</f>
        <v>0.11</v>
      </c>
      <c r="K25" s="440">
        <f>[4]модель!$M$132</f>
        <v>0.11</v>
      </c>
      <c r="L25" s="443">
        <f>[4]модель!$N$132</f>
        <v>0.11</v>
      </c>
      <c r="M25" s="442">
        <f>'[9]утв ЛО 2014 '!$G$106</f>
        <v>0.12</v>
      </c>
      <c r="N25" s="440">
        <f>'[9]утв ЛО 2014 '!$H$106</f>
        <v>0.11</v>
      </c>
      <c r="O25" s="440">
        <f>'[5]утв ЛО 2014 '!$I$106</f>
        <v>0.11</v>
      </c>
      <c r="P25" s="440">
        <f>'[4]Тарифная модель ЛО'!J$113</f>
        <v>0.11</v>
      </c>
      <c r="Q25" s="441">
        <f>'[4]Тарифная модель ЛО'!K$113</f>
        <v>0.11</v>
      </c>
      <c r="R25" s="440">
        <f>'[4]Тарифная модель ЛО'!L$113</f>
        <v>0.11</v>
      </c>
      <c r="S25" s="440">
        <f>'[4]Тарифная модель ЛО'!M$113</f>
        <v>0.11</v>
      </c>
      <c r="T25" s="440">
        <f>'[4]Тарифная модель ЛО'!N$113</f>
        <v>0.11</v>
      </c>
      <c r="U25" s="440">
        <f>'[4]Тарифная модель ЛО'!O$113</f>
        <v>0.11</v>
      </c>
      <c r="V25" s="442">
        <f t="shared" si="20"/>
        <v>0.12</v>
      </c>
      <c r="W25" s="440">
        <f t="shared" si="20"/>
        <v>0.11</v>
      </c>
      <c r="X25" s="440">
        <f t="shared" si="20"/>
        <v>0.11</v>
      </c>
      <c r="Y25" s="440">
        <f t="shared" si="20"/>
        <v>0.11</v>
      </c>
      <c r="Z25" s="441">
        <f t="shared" si="20"/>
        <v>0.11</v>
      </c>
      <c r="AA25" s="440">
        <f t="shared" si="20"/>
        <v>0.11</v>
      </c>
      <c r="AB25" s="440">
        <f t="shared" si="20"/>
        <v>0.11</v>
      </c>
      <c r="AC25" s="440">
        <f t="shared" si="20"/>
        <v>0.11</v>
      </c>
      <c r="AD25" s="439">
        <f t="shared" si="20"/>
        <v>0.11</v>
      </c>
    </row>
    <row r="26" spans="2:30" s="452" customFormat="1" x14ac:dyDescent="0.25">
      <c r="B26" s="470" t="s">
        <v>306</v>
      </c>
      <c r="C26" s="469"/>
      <c r="D26" s="466">
        <f>'[10]план 10-19 надежность'!D7</f>
        <v>1.9947052999999999E-2</v>
      </c>
      <c r="E26" s="464">
        <f>'[10]план 10-19 надежность'!E7</f>
        <v>1.9647847204999999E-2</v>
      </c>
      <c r="F26" s="464">
        <f>'[10]план 10-19 надежность'!F7</f>
        <v>1.9353129496924998E-2</v>
      </c>
      <c r="G26" s="464">
        <f>'[10]план 10-19 надежность'!G7</f>
        <v>1.9062832554471124E-2</v>
      </c>
      <c r="H26" s="465">
        <f>'[10]план 10-19 надежность'!H7</f>
        <v>1.8776890066154055E-2</v>
      </c>
      <c r="I26" s="463">
        <f>'[10]план 10-19 надежность'!I7</f>
        <v>1.8495236715161744E-2</v>
      </c>
      <c r="J26" s="463">
        <f>'[10]план 10-19 надежность'!J7</f>
        <v>1.8217808164434319E-2</v>
      </c>
      <c r="K26" s="463">
        <f>'[10]план 10-19 надежность'!K7</f>
        <v>1.7944541041967802E-2</v>
      </c>
      <c r="L26" s="468">
        <v>1.7675373000000001E-2</v>
      </c>
      <c r="M26" s="466">
        <f t="shared" ref="M26:U26" si="21">D26</f>
        <v>1.9947052999999999E-2</v>
      </c>
      <c r="N26" s="464">
        <f t="shared" si="21"/>
        <v>1.9647847204999999E-2</v>
      </c>
      <c r="O26" s="464">
        <f t="shared" si="21"/>
        <v>1.9353129496924998E-2</v>
      </c>
      <c r="P26" s="464">
        <f t="shared" si="21"/>
        <v>1.9062832554471124E-2</v>
      </c>
      <c r="Q26" s="465">
        <f t="shared" si="21"/>
        <v>1.8776890066154055E-2</v>
      </c>
      <c r="R26" s="463">
        <f t="shared" si="21"/>
        <v>1.8495236715161744E-2</v>
      </c>
      <c r="S26" s="463">
        <f t="shared" si="21"/>
        <v>1.8217808164434319E-2</v>
      </c>
      <c r="T26" s="463">
        <f t="shared" si="21"/>
        <v>1.7944541041967802E-2</v>
      </c>
      <c r="U26" s="467">
        <f t="shared" si="21"/>
        <v>1.7675373000000001E-2</v>
      </c>
      <c r="V26" s="466">
        <f t="shared" ref="V26:AA26" si="22">D26</f>
        <v>1.9947052999999999E-2</v>
      </c>
      <c r="W26" s="464">
        <f t="shared" si="22"/>
        <v>1.9647847204999999E-2</v>
      </c>
      <c r="X26" s="464">
        <f t="shared" si="22"/>
        <v>1.9353129496924998E-2</v>
      </c>
      <c r="Y26" s="464">
        <f t="shared" si="22"/>
        <v>1.9062832554471124E-2</v>
      </c>
      <c r="Z26" s="465">
        <f t="shared" si="22"/>
        <v>1.8776890066154055E-2</v>
      </c>
      <c r="AA26" s="463">
        <f t="shared" si="22"/>
        <v>1.8495236715161744E-2</v>
      </c>
      <c r="AB26" s="454" t="s">
        <v>286</v>
      </c>
      <c r="AC26" s="454" t="s">
        <v>286</v>
      </c>
      <c r="AD26" s="453" t="s">
        <v>286</v>
      </c>
    </row>
    <row r="27" spans="2:30" s="452" customFormat="1" ht="30" x14ac:dyDescent="0.25">
      <c r="B27" s="462" t="s">
        <v>305</v>
      </c>
      <c r="C27" s="461"/>
      <c r="D27" s="552">
        <v>1.0102</v>
      </c>
      <c r="E27" s="554">
        <v>1.0102</v>
      </c>
      <c r="F27" s="554">
        <f>'[10]над и кач 1.4 (4) (план) СПб'!E11</f>
        <v>1.0102</v>
      </c>
      <c r="G27" s="457">
        <v>1.9903</v>
      </c>
      <c r="H27" s="458">
        <v>1.9603999999999999</v>
      </c>
      <c r="I27" s="460">
        <v>1.931</v>
      </c>
      <c r="J27" s="460">
        <v>1.9020999999999999</v>
      </c>
      <c r="K27" s="460">
        <v>1.8734999999999999</v>
      </c>
      <c r="L27" s="459">
        <v>1.8453999999999999</v>
      </c>
      <c r="M27" s="552">
        <f>D27</f>
        <v>1.0102</v>
      </c>
      <c r="N27" s="554">
        <f>E27</f>
        <v>1.0102</v>
      </c>
      <c r="O27" s="554">
        <f>'[10]над и кач 1.4 (4) (план) ЛО'!E11</f>
        <v>1.0102</v>
      </c>
      <c r="P27" s="455" t="s">
        <v>286</v>
      </c>
      <c r="Q27" s="456" t="s">
        <v>286</v>
      </c>
      <c r="R27" s="454" t="s">
        <v>286</v>
      </c>
      <c r="S27" s="454" t="s">
        <v>286</v>
      </c>
      <c r="T27" s="454" t="s">
        <v>286</v>
      </c>
      <c r="U27" s="453" t="s">
        <v>286</v>
      </c>
      <c r="V27" s="552">
        <f>D27</f>
        <v>1.0102</v>
      </c>
      <c r="W27" s="554">
        <f>E27</f>
        <v>1.0102</v>
      </c>
      <c r="X27" s="554">
        <f>F27</f>
        <v>1.0102</v>
      </c>
      <c r="Y27" s="455" t="s">
        <v>286</v>
      </c>
      <c r="Z27" s="456" t="s">
        <v>286</v>
      </c>
      <c r="AA27" s="454" t="s">
        <v>286</v>
      </c>
      <c r="AB27" s="454" t="s">
        <v>286</v>
      </c>
      <c r="AC27" s="454" t="s">
        <v>286</v>
      </c>
      <c r="AD27" s="453" t="s">
        <v>286</v>
      </c>
    </row>
    <row r="28" spans="2:30" s="452" customFormat="1" ht="30" x14ac:dyDescent="0.25">
      <c r="B28" s="462" t="s">
        <v>304</v>
      </c>
      <c r="C28" s="461"/>
      <c r="D28" s="553"/>
      <c r="E28" s="555"/>
      <c r="F28" s="555"/>
      <c r="G28" s="457">
        <v>0.89749999999999996</v>
      </c>
      <c r="H28" s="458">
        <v>0.89749999999999996</v>
      </c>
      <c r="I28" s="460">
        <v>0.89749999999999996</v>
      </c>
      <c r="J28" s="460">
        <v>0.89749999999999996</v>
      </c>
      <c r="K28" s="460">
        <v>0.89749999999999996</v>
      </c>
      <c r="L28" s="459">
        <v>0.89749999999999996</v>
      </c>
      <c r="M28" s="553"/>
      <c r="N28" s="555"/>
      <c r="O28" s="555"/>
      <c r="P28" s="457">
        <v>1.0102</v>
      </c>
      <c r="Q28" s="458">
        <v>1.0102</v>
      </c>
      <c r="R28" s="457">
        <v>1.0102</v>
      </c>
      <c r="S28" s="457">
        <v>1.0102</v>
      </c>
      <c r="T28" s="457">
        <v>1.0102</v>
      </c>
      <c r="U28" s="457">
        <v>1.0102</v>
      </c>
      <c r="V28" s="553"/>
      <c r="W28" s="555"/>
      <c r="X28" s="555"/>
      <c r="Y28" s="455" t="s">
        <v>286</v>
      </c>
      <c r="Z28" s="456" t="s">
        <v>286</v>
      </c>
      <c r="AA28" s="454" t="s">
        <v>286</v>
      </c>
      <c r="AB28" s="454" t="s">
        <v>286</v>
      </c>
      <c r="AC28" s="454" t="s">
        <v>286</v>
      </c>
      <c r="AD28" s="453" t="s">
        <v>286</v>
      </c>
    </row>
    <row r="29" spans="2:30" x14ac:dyDescent="0.25">
      <c r="B29" s="451" t="s">
        <v>209</v>
      </c>
      <c r="C29" s="444" t="s">
        <v>189</v>
      </c>
      <c r="D29" s="449">
        <f>'[9]утв СПб 2014'!$G$117/1000</f>
        <v>222.44075912891421</v>
      </c>
      <c r="E29" s="447">
        <f>'[9]утв СПб 2014'!$H$117/1000</f>
        <v>236.14622800000006</v>
      </c>
      <c r="F29" s="447">
        <f>'[5]утв СПб 2014'!$I$117/1000</f>
        <v>282.26115650721681</v>
      </c>
      <c r="G29" s="447">
        <f>[4]модель!$I$130/1000</f>
        <v>335.98944106849314</v>
      </c>
      <c r="H29" s="448">
        <f>[4]модель!$J$130/1000</f>
        <v>391.12741457984589</v>
      </c>
      <c r="I29" s="447">
        <f>[4]модель!$K$130/1000</f>
        <v>446.69252180281444</v>
      </c>
      <c r="J29" s="447">
        <f>[4]модель!$L$130/1000</f>
        <v>584.74917898838009</v>
      </c>
      <c r="K29" s="447">
        <f>[4]модель!$M$130/1000</f>
        <v>633.78771728621007</v>
      </c>
      <c r="L29" s="450">
        <f>[4]модель!$N$130/1000</f>
        <v>712.57903527042549</v>
      </c>
      <c r="M29" s="449">
        <f>'[9]утв ЛО 2014 '!$G$104/1000</f>
        <v>105.96841599999999</v>
      </c>
      <c r="N29" s="447">
        <f>'[9]утв ЛО 2014 '!$H$104/1000</f>
        <v>117.15935761993485</v>
      </c>
      <c r="O29" s="447">
        <f>'[5]утв ЛО 2014 '!$I$104/1000</f>
        <v>168.66831999999999</v>
      </c>
      <c r="P29" s="447">
        <f>'[4]Тарифная модель ЛО'!J$111/1000</f>
        <v>204.33044568241542</v>
      </c>
      <c r="Q29" s="448">
        <f>'[4]Тарифная модель ЛО'!K$111/1000</f>
        <v>256.0663176309501</v>
      </c>
      <c r="R29" s="447">
        <f>'[4]Тарифная модель ЛО'!L$111/1000</f>
        <v>304.45999999999998</v>
      </c>
      <c r="S29" s="447">
        <f>'[4]Тарифная модель ЛО'!M$111/1000</f>
        <v>229.85499658546993</v>
      </c>
      <c r="T29" s="447">
        <f>'[4]Тарифная модель ЛО'!N$111/1000</f>
        <v>317.20882037225812</v>
      </c>
      <c r="U29" s="447">
        <f>'[4]Тарифная модель ЛО'!O$111/1000</f>
        <v>469.72027980212448</v>
      </c>
      <c r="V29" s="449">
        <f t="shared" ref="V29:AD29" si="23">M29+D29</f>
        <v>328.40917512891417</v>
      </c>
      <c r="W29" s="447">
        <f t="shared" si="23"/>
        <v>353.3055856199349</v>
      </c>
      <c r="X29" s="447">
        <f t="shared" si="23"/>
        <v>450.9294765072168</v>
      </c>
      <c r="Y29" s="447">
        <f t="shared" si="23"/>
        <v>540.31988675090861</v>
      </c>
      <c r="Z29" s="448">
        <f t="shared" si="23"/>
        <v>647.19373221079604</v>
      </c>
      <c r="AA29" s="447">
        <f t="shared" si="23"/>
        <v>751.15252180281436</v>
      </c>
      <c r="AB29" s="447">
        <f t="shared" si="23"/>
        <v>814.60417557385006</v>
      </c>
      <c r="AC29" s="447">
        <f t="shared" si="23"/>
        <v>950.99653765846824</v>
      </c>
      <c r="AD29" s="446">
        <f t="shared" si="23"/>
        <v>1182.2993150725499</v>
      </c>
    </row>
    <row r="30" spans="2:30" ht="30" x14ac:dyDescent="0.25">
      <c r="B30" s="445" t="s">
        <v>287</v>
      </c>
      <c r="C30" s="444" t="s">
        <v>203</v>
      </c>
      <c r="D30" s="442">
        <f>'[9]утв СПб 2014'!$G$17</f>
        <v>0.03</v>
      </c>
      <c r="E30" s="440">
        <f>'[9]утв СПб 2014'!$H$17</f>
        <v>0.03</v>
      </c>
      <c r="F30" s="440">
        <f>'[5]утв СПб 2014'!$I$17</f>
        <v>0.03</v>
      </c>
      <c r="G30" s="440">
        <f>[4]модель!$I$17</f>
        <v>0.03</v>
      </c>
      <c r="H30" s="441">
        <f>[4]модель!$J$17</f>
        <v>0.03</v>
      </c>
      <c r="I30" s="440">
        <f>[4]модель!$K$17</f>
        <v>0.03</v>
      </c>
      <c r="J30" s="440">
        <f>[4]модель!$L$17</f>
        <v>0.03</v>
      </c>
      <c r="K30" s="440">
        <f>[4]модель!$M$17</f>
        <v>0.03</v>
      </c>
      <c r="L30" s="443">
        <f>[4]модель!$N$17</f>
        <v>0.03</v>
      </c>
      <c r="M30" s="442">
        <f>'[9]утв ЛО 2014 '!$G$10</f>
        <v>0.03</v>
      </c>
      <c r="N30" s="440">
        <f>'[9]утв ЛО 2014 '!$H$10</f>
        <v>0.03</v>
      </c>
      <c r="O30" s="440">
        <f>'[5]утв ЛО 2014 '!$I$10</f>
        <v>0.03</v>
      </c>
      <c r="P30" s="440">
        <f>'[4]Тарифная модель ЛО'!K$10</f>
        <v>0.03</v>
      </c>
      <c r="Q30" s="441">
        <f>'[4]Тарифная модель ЛО'!L$10</f>
        <v>0.03</v>
      </c>
      <c r="R30" s="440">
        <f>'[4]Тарифная модель ЛО'!M$10</f>
        <v>0.03</v>
      </c>
      <c r="S30" s="440">
        <f>'[4]Тарифная модель ЛО'!N$10</f>
        <v>0.03</v>
      </c>
      <c r="T30" s="440">
        <f>'[4]Тарифная модель ЛО'!O$10</f>
        <v>0.03</v>
      </c>
      <c r="U30" s="440">
        <f>'[4]Тарифная модель ЛО'!P$10</f>
        <v>0.03</v>
      </c>
      <c r="V30" s="442">
        <f t="shared" ref="V30:AD30" si="24">D30</f>
        <v>0.03</v>
      </c>
      <c r="W30" s="440">
        <f t="shared" si="24"/>
        <v>0.03</v>
      </c>
      <c r="X30" s="440">
        <f t="shared" si="24"/>
        <v>0.03</v>
      </c>
      <c r="Y30" s="440">
        <f t="shared" si="24"/>
        <v>0.03</v>
      </c>
      <c r="Z30" s="441">
        <f t="shared" si="24"/>
        <v>0.03</v>
      </c>
      <c r="AA30" s="440">
        <f t="shared" si="24"/>
        <v>0.03</v>
      </c>
      <c r="AB30" s="440">
        <f t="shared" si="24"/>
        <v>0.03</v>
      </c>
      <c r="AC30" s="440">
        <f t="shared" si="24"/>
        <v>0.03</v>
      </c>
      <c r="AD30" s="439">
        <f t="shared" si="24"/>
        <v>0.03</v>
      </c>
    </row>
    <row r="31" spans="2:30" ht="15.75" thickBot="1" x14ac:dyDescent="0.3">
      <c r="B31" s="438" t="s">
        <v>210</v>
      </c>
      <c r="C31" s="437" t="s">
        <v>203</v>
      </c>
      <c r="D31" s="435">
        <f>'[9]утв СПб 2014'!$G$206</f>
        <v>0.1072732635415086</v>
      </c>
      <c r="E31" s="433">
        <f>'[9]утв СПб 2014'!$H$206</f>
        <v>0.10063612185382725</v>
      </c>
      <c r="F31" s="433">
        <f>'[5]утв СПб 2014'!$I$206</f>
        <v>0.10421535364449729</v>
      </c>
      <c r="G31" s="433">
        <f>[4]модель!$I$235</f>
        <v>0.12755610021185135</v>
      </c>
      <c r="H31" s="434">
        <f>[4]модель!$J$235</f>
        <v>0.11122380646580064</v>
      </c>
      <c r="I31" s="433">
        <f>[4]модель!$K$235</f>
        <v>0.12655489731951514</v>
      </c>
      <c r="J31" s="433">
        <f>[4]модель!$L$235</f>
        <v>0.12457565844231867</v>
      </c>
      <c r="K31" s="433">
        <f>[4]модель!$M$235</f>
        <v>0.12484119096627778</v>
      </c>
      <c r="L31" s="436">
        <f>[4]модель!$N$235</f>
        <v>0.12510511863656512</v>
      </c>
      <c r="M31" s="435">
        <f>'[11]Тарифная модель 16-20'!G$199</f>
        <v>0.10538863195709751</v>
      </c>
      <c r="N31" s="433">
        <f>'[11]Тарифная модель 16-20'!H$199</f>
        <v>0.10200249909870526</v>
      </c>
      <c r="O31" s="433">
        <f>'[11]Тарифная модель 16-20'!I$199</f>
        <v>9.6698814970413119E-2</v>
      </c>
      <c r="P31" s="433">
        <f>'[4]Тарифная модель ЛО'!J$199</f>
        <v>9.5468562424758388E-2</v>
      </c>
      <c r="Q31" s="434">
        <f>'[4]Тарифная модель ЛО'!K$199</f>
        <v>0.10281375213980136</v>
      </c>
      <c r="R31" s="433">
        <f>'[4]Тарифная модель ЛО'!L$199</f>
        <v>0.10490244955759563</v>
      </c>
      <c r="S31" s="433">
        <f>'[4]Тарифная модель ЛО'!M$199</f>
        <v>9.7914689375411187E-2</v>
      </c>
      <c r="T31" s="433">
        <f>'[4]Тарифная модель ЛО'!N$199</f>
        <v>9.3896992787507572E-2</v>
      </c>
      <c r="U31" s="433">
        <f>'[4]Тарифная модель ЛО'!O$199</f>
        <v>8.9930759834244201E-2</v>
      </c>
      <c r="V31" s="435"/>
      <c r="W31" s="433"/>
      <c r="X31" s="433"/>
      <c r="Y31" s="433"/>
      <c r="Z31" s="434"/>
      <c r="AA31" s="433"/>
      <c r="AB31" s="433"/>
      <c r="AC31" s="433"/>
      <c r="AD31" s="432"/>
    </row>
    <row r="32" spans="2:30" ht="30.75" thickBot="1" x14ac:dyDescent="0.3">
      <c r="B32" s="431" t="s">
        <v>212</v>
      </c>
      <c r="C32" s="430" t="s">
        <v>189</v>
      </c>
      <c r="D32" s="429">
        <f>'[9]утв СПб 2014'!$G$260/1000</f>
        <v>6784.0417069591585</v>
      </c>
      <c r="E32" s="427">
        <f>'[9]утв СПб 2014'!$H$260/1000</f>
        <v>5252.692</v>
      </c>
      <c r="F32" s="427">
        <f>'[5]утв СПб 2014'!$I$260/1000</f>
        <v>12307.531000000001</v>
      </c>
      <c r="G32" s="427">
        <f>[4]модель!I$295/1000</f>
        <v>1760.3839447472305</v>
      </c>
      <c r="H32" s="428">
        <f>[4]модель!J$295/1000</f>
        <v>7197.0100391143087</v>
      </c>
      <c r="I32" s="427">
        <f>[4]модель!K$295/1000</f>
        <v>13660.707558270358</v>
      </c>
      <c r="J32" s="427">
        <f>[4]модель!L$295/1000</f>
        <v>11743.060202479404</v>
      </c>
      <c r="K32" s="427">
        <f>[4]модель!M$295/1000</f>
        <v>16366.363223708639</v>
      </c>
      <c r="L32" s="427">
        <f>[4]модель!N$295/1000</f>
        <v>13655.697042128111</v>
      </c>
      <c r="M32" s="429">
        <f>'[9]утв ЛО 2014 '!$G$217/1000</f>
        <v>2463.5749490472494</v>
      </c>
      <c r="N32" s="427">
        <f>'[9]утв ЛО 2014 '!$H$217/1000</f>
        <v>3334.0581760895407</v>
      </c>
      <c r="O32" s="427">
        <f>'[5]утв ЛО 2014 '!$I$217/1000</f>
        <v>4458.5837450562076</v>
      </c>
      <c r="P32" s="427">
        <f>'[4]Тарифная модель ЛО'!J$223/1000</f>
        <v>1132.6734375599431</v>
      </c>
      <c r="Q32" s="428">
        <f>'[4]Тарифная модель ЛО'!K$223/1000</f>
        <v>5125.6715822638789</v>
      </c>
      <c r="R32" s="427">
        <f>'[4]Тарифная модель ЛО'!L$223/1000</f>
        <v>8161.1070039989954</v>
      </c>
      <c r="S32" s="427">
        <f>'[4]Тарифная модель ЛО'!M$223/1000</f>
        <v>7583.6946082990971</v>
      </c>
      <c r="T32" s="427">
        <f>'[4]Тарифная модель ЛО'!N$223/1000</f>
        <v>6583.3998425258351</v>
      </c>
      <c r="U32" s="427">
        <f>'[4]Тарифная модель ЛО'!O$223/1000</f>
        <v>5599.4846452116035</v>
      </c>
      <c r="V32" s="429">
        <f t="shared" ref="V32:AD32" si="25">M32+D32</f>
        <v>9247.6166560064084</v>
      </c>
      <c r="W32" s="427">
        <f t="shared" si="25"/>
        <v>8586.7501760895411</v>
      </c>
      <c r="X32" s="427">
        <f t="shared" si="25"/>
        <v>16766.114745056209</v>
      </c>
      <c r="Y32" s="427">
        <f t="shared" si="25"/>
        <v>2893.0573823071736</v>
      </c>
      <c r="Z32" s="428">
        <f t="shared" si="25"/>
        <v>12322.681621378188</v>
      </c>
      <c r="AA32" s="427">
        <f t="shared" si="25"/>
        <v>21821.814562269356</v>
      </c>
      <c r="AB32" s="427">
        <f t="shared" si="25"/>
        <v>19326.754810778501</v>
      </c>
      <c r="AC32" s="427">
        <f t="shared" si="25"/>
        <v>22949.763066234475</v>
      </c>
      <c r="AD32" s="426">
        <f t="shared" si="25"/>
        <v>19255.181687339715</v>
      </c>
    </row>
    <row r="34" spans="2:29" ht="15" customHeight="1" x14ac:dyDescent="0.25">
      <c r="B34" s="424" t="s">
        <v>303</v>
      </c>
      <c r="C34" s="423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3"/>
      <c r="W34" s="423"/>
      <c r="X34" s="423"/>
      <c r="Y34" s="423"/>
      <c r="Z34" s="423"/>
      <c r="AA34" s="423"/>
      <c r="AB34" s="423"/>
      <c r="AC34" s="423"/>
    </row>
    <row r="35" spans="2:29" x14ac:dyDescent="0.25">
      <c r="B35" s="424" t="s">
        <v>302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</row>
    <row r="36" spans="2:29" x14ac:dyDescent="0.25"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</row>
  </sheetData>
  <mergeCells count="14">
    <mergeCell ref="V27:V28"/>
    <mergeCell ref="W27:W28"/>
    <mergeCell ref="X27:X28"/>
    <mergeCell ref="B3:B4"/>
    <mergeCell ref="C3:C4"/>
    <mergeCell ref="D3:L3"/>
    <mergeCell ref="M3:U3"/>
    <mergeCell ref="V3:AD3"/>
    <mergeCell ref="D27:D28"/>
    <mergeCell ref="E27:E28"/>
    <mergeCell ref="F27:F28"/>
    <mergeCell ref="M27:M28"/>
    <mergeCell ref="N27:N28"/>
    <mergeCell ref="O27:O28"/>
  </mergeCells>
  <pageMargins left="0.19685039370078741" right="0.1968503937007874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65"/>
  <sheetViews>
    <sheetView zoomScale="70" zoomScaleNormal="70" workbookViewId="0">
      <selection activeCell="I18" sqref="I18"/>
    </sheetView>
  </sheetViews>
  <sheetFormatPr defaultRowHeight="12.75" x14ac:dyDescent="0.2"/>
  <cols>
    <col min="1" max="1" width="40.28515625" customWidth="1"/>
    <col min="2" max="3" width="10.85546875" bestFit="1" customWidth="1"/>
    <col min="4" max="5" width="14.85546875" bestFit="1" customWidth="1"/>
    <col min="6" max="6" width="14.85546875" customWidth="1"/>
    <col min="7" max="7" width="14.85546875" bestFit="1" customWidth="1"/>
    <col min="8" max="8" width="16" customWidth="1"/>
    <col min="9" max="9" width="16.140625" customWidth="1"/>
    <col min="10" max="10" width="15.85546875" customWidth="1"/>
    <col min="11" max="12" width="14.85546875" bestFit="1" customWidth="1"/>
  </cols>
  <sheetData>
    <row r="1" spans="1:12" s="9" customFormat="1" x14ac:dyDescent="0.2">
      <c r="A1" s="534" t="s">
        <v>267</v>
      </c>
      <c r="B1" s="534"/>
      <c r="C1" s="534"/>
      <c r="D1" s="534"/>
      <c r="E1" s="534"/>
    </row>
    <row r="2" spans="1:12" s="22" customFormat="1" ht="13.5" thickBot="1" x14ac:dyDescent="0.25">
      <c r="A2" s="291"/>
      <c r="B2" s="292">
        <v>2006</v>
      </c>
      <c r="C2" s="292">
        <v>2007</v>
      </c>
      <c r="D2" s="292">
        <v>2008</v>
      </c>
      <c r="E2" s="292">
        <v>2009</v>
      </c>
      <c r="F2" s="293">
        <v>2010</v>
      </c>
      <c r="G2" s="293">
        <v>2011</v>
      </c>
      <c r="H2" s="293">
        <v>2012</v>
      </c>
      <c r="I2" s="293">
        <v>2013</v>
      </c>
      <c r="J2" s="293">
        <v>2014</v>
      </c>
      <c r="K2" s="293">
        <v>2015</v>
      </c>
      <c r="L2" s="307">
        <v>2016</v>
      </c>
    </row>
    <row r="3" spans="1:12" s="7" customFormat="1" x14ac:dyDescent="0.2">
      <c r="A3" s="184" t="s">
        <v>153</v>
      </c>
      <c r="B3" s="178" t="s">
        <v>154</v>
      </c>
      <c r="C3" s="178" t="s">
        <v>154</v>
      </c>
      <c r="D3" s="178" t="s">
        <v>155</v>
      </c>
      <c r="E3" s="178" t="s">
        <v>155</v>
      </c>
      <c r="F3" s="178" t="s">
        <v>155</v>
      </c>
      <c r="G3" s="178" t="s">
        <v>155</v>
      </c>
      <c r="H3" s="101">
        <v>1135061313.0799999</v>
      </c>
      <c r="I3" s="101">
        <v>1135061313.0799999</v>
      </c>
      <c r="J3" s="101">
        <v>1658814839.05</v>
      </c>
      <c r="K3" s="101">
        <v>1658814839.05</v>
      </c>
      <c r="L3" s="101">
        <v>1658814839.05</v>
      </c>
    </row>
    <row r="4" spans="1:12" s="7" customFormat="1" x14ac:dyDescent="0.2">
      <c r="A4" s="184" t="s">
        <v>156</v>
      </c>
      <c r="B4" s="178" t="s">
        <v>157</v>
      </c>
      <c r="C4" s="178" t="s">
        <v>157</v>
      </c>
      <c r="D4" s="178" t="s">
        <v>158</v>
      </c>
      <c r="E4" s="178" t="s">
        <v>158</v>
      </c>
      <c r="F4" s="178" t="s">
        <v>158</v>
      </c>
      <c r="G4" s="192" t="s">
        <v>158</v>
      </c>
      <c r="H4" s="178" t="s">
        <v>158</v>
      </c>
      <c r="I4" s="178" t="s">
        <v>158</v>
      </c>
      <c r="J4" s="101">
        <v>93264311</v>
      </c>
      <c r="K4" s="101">
        <v>93264311</v>
      </c>
      <c r="L4" s="101">
        <v>93264311</v>
      </c>
    </row>
    <row r="5" spans="1:12" s="10" customFormat="1" ht="13.5" thickBot="1" x14ac:dyDescent="0.25">
      <c r="A5" s="186" t="s">
        <v>159</v>
      </c>
      <c r="B5" s="187" t="s">
        <v>160</v>
      </c>
      <c r="C5" s="187" t="s">
        <v>160</v>
      </c>
      <c r="D5" s="187" t="s">
        <v>161</v>
      </c>
      <c r="E5" s="187" t="s">
        <v>161</v>
      </c>
      <c r="F5" s="187" t="s">
        <v>161</v>
      </c>
      <c r="G5" s="187" t="s">
        <v>161</v>
      </c>
      <c r="H5" s="305">
        <v>1228325624.0799999</v>
      </c>
      <c r="I5" s="305">
        <v>1228325624.0799999</v>
      </c>
      <c r="J5" s="305">
        <v>1752079150.05</v>
      </c>
      <c r="K5" s="305">
        <v>1752079150.05</v>
      </c>
      <c r="L5" s="305">
        <v>1752079150.05</v>
      </c>
    </row>
    <row r="6" spans="1:12" s="9" customFormat="1" x14ac:dyDescent="0.2"/>
    <row r="7" spans="1:12" s="9" customFormat="1" x14ac:dyDescent="0.2">
      <c r="A7" s="9" t="s">
        <v>183</v>
      </c>
    </row>
    <row r="8" spans="1:12" s="9" customFormat="1" x14ac:dyDescent="0.2">
      <c r="A8" s="9" t="s">
        <v>182</v>
      </c>
    </row>
    <row r="9" spans="1:12" s="9" customFormat="1" x14ac:dyDescent="0.2"/>
    <row r="10" spans="1:12" s="9" customFormat="1" x14ac:dyDescent="0.2"/>
    <row r="11" spans="1:12" s="9" customFormat="1" x14ac:dyDescent="0.2">
      <c r="A11" s="185" t="s">
        <v>290</v>
      </c>
    </row>
    <row r="12" spans="1:12" s="9" customFormat="1" x14ac:dyDescent="0.2"/>
    <row r="13" spans="1:12" s="9" customFormat="1" x14ac:dyDescent="0.2"/>
    <row r="14" spans="1:12" s="9" customFormat="1" x14ac:dyDescent="0.2"/>
    <row r="15" spans="1:12" s="9" customFormat="1" x14ac:dyDescent="0.2"/>
    <row r="16" spans="1:12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pans="1:12" s="9" customFormat="1" x14ac:dyDescent="0.2"/>
    <row r="34" spans="1:12" s="9" customForma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12" s="9" customFormat="1" x14ac:dyDescent="0.2"/>
    <row r="36" spans="1:12" s="9" customForma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s="9" customFormat="1" x14ac:dyDescent="0.2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1:12" s="9" customFormat="1" x14ac:dyDescent="0.2"/>
    <row r="39" spans="1:12" s="9" customFormat="1" x14ac:dyDescent="0.2"/>
    <row r="40" spans="1:12" s="9" customFormat="1" x14ac:dyDescent="0.2"/>
    <row r="41" spans="1:12" s="9" customFormat="1" x14ac:dyDescent="0.2">
      <c r="A41" s="282"/>
    </row>
    <row r="42" spans="1:12" s="9" customFormat="1" x14ac:dyDescent="0.2">
      <c r="B42" s="9" t="s">
        <v>83</v>
      </c>
    </row>
    <row r="43" spans="1:12" s="9" customFormat="1" x14ac:dyDescent="0.2"/>
    <row r="44" spans="1:12" s="9" customFormat="1" x14ac:dyDescent="0.2">
      <c r="A44" s="8"/>
    </row>
    <row r="45" spans="1:12" s="9" customFormat="1" x14ac:dyDescent="0.2"/>
    <row r="46" spans="1:12" s="9" customFormat="1" x14ac:dyDescent="0.2"/>
    <row r="47" spans="1:12" s="7" customFormat="1" x14ac:dyDescent="0.2">
      <c r="A47" s="535"/>
      <c r="B47" s="535"/>
      <c r="C47" s="535"/>
      <c r="D47" s="535"/>
      <c r="E47" s="535"/>
    </row>
    <row r="48" spans="1:12" s="8" customFormat="1" x14ac:dyDescent="0.2">
      <c r="A48" s="180"/>
      <c r="B48" s="182"/>
      <c r="C48" s="182"/>
      <c r="D48" s="182"/>
      <c r="E48" s="183"/>
      <c r="F48" s="182"/>
    </row>
    <row r="49" spans="1:5" s="8" customFormat="1" x14ac:dyDescent="0.2">
      <c r="A49" s="180"/>
      <c r="B49" s="181"/>
      <c r="C49" s="181"/>
      <c r="D49" s="181"/>
      <c r="E49" s="5"/>
    </row>
    <row r="50" spans="1:5" s="8" customFormat="1" x14ac:dyDescent="0.2">
      <c r="B50" s="181"/>
      <c r="C50" s="181"/>
      <c r="D50" s="181"/>
      <c r="E50" s="5"/>
    </row>
    <row r="51" spans="1:5" s="8" customFormat="1" x14ac:dyDescent="0.2">
      <c r="A51" s="180"/>
      <c r="B51" s="181"/>
      <c r="C51" s="181"/>
      <c r="D51" s="181"/>
      <c r="E51" s="5"/>
    </row>
    <row r="52" spans="1:5" s="8" customFormat="1" x14ac:dyDescent="0.2">
      <c r="A52" s="180"/>
      <c r="B52" s="181"/>
      <c r="D52" s="181"/>
      <c r="E52" s="181"/>
    </row>
    <row r="53" spans="1:5" s="8" customFormat="1" x14ac:dyDescent="0.2">
      <c r="A53" s="180"/>
      <c r="B53" s="181"/>
      <c r="C53" s="181"/>
      <c r="D53" s="181"/>
      <c r="E53" s="5"/>
    </row>
    <row r="54" spans="1:5" s="8" customFormat="1" x14ac:dyDescent="0.2">
      <c r="A54" s="180"/>
      <c r="B54" s="181"/>
      <c r="C54" s="181"/>
      <c r="D54" s="181"/>
      <c r="E54" s="5"/>
    </row>
    <row r="55" spans="1:5" s="8" customFormat="1" x14ac:dyDescent="0.2">
      <c r="A55" s="180"/>
      <c r="B55" s="181"/>
      <c r="C55" s="181"/>
      <c r="D55" s="181"/>
      <c r="E55" s="5"/>
    </row>
    <row r="56" spans="1:5" s="8" customFormat="1" x14ac:dyDescent="0.2">
      <c r="A56" s="180"/>
      <c r="B56" s="181"/>
      <c r="C56" s="181"/>
      <c r="D56" s="181"/>
      <c r="E56" s="5"/>
    </row>
    <row r="57" spans="1:5" s="8" customFormat="1" x14ac:dyDescent="0.2">
      <c r="A57" s="180"/>
      <c r="B57" s="181"/>
      <c r="C57" s="181"/>
      <c r="D57" s="181"/>
      <c r="E57" s="5"/>
    </row>
    <row r="58" spans="1:5" s="8" customFormat="1" x14ac:dyDescent="0.2">
      <c r="A58" s="180"/>
      <c r="B58" s="181"/>
      <c r="C58" s="181"/>
      <c r="D58" s="181"/>
      <c r="E58" s="5"/>
    </row>
    <row r="59" spans="1:5" s="8" customFormat="1" x14ac:dyDescent="0.2">
      <c r="A59" s="180"/>
      <c r="B59" s="181"/>
      <c r="C59" s="181"/>
      <c r="D59" s="181"/>
      <c r="E59" s="5"/>
    </row>
    <row r="60" spans="1:5" s="8" customFormat="1" x14ac:dyDescent="0.2">
      <c r="A60" s="180"/>
      <c r="B60" s="181"/>
      <c r="C60" s="181"/>
      <c r="D60" s="181"/>
      <c r="E60" s="5"/>
    </row>
    <row r="61" spans="1:5" s="8" customFormat="1" x14ac:dyDescent="0.2">
      <c r="A61" s="5"/>
      <c r="B61" s="5"/>
      <c r="C61" s="5"/>
      <c r="D61" s="5"/>
      <c r="E61" s="5"/>
    </row>
    <row r="62" spans="1:5" s="8" customFormat="1" x14ac:dyDescent="0.2">
      <c r="A62" s="5"/>
      <c r="B62" s="5"/>
      <c r="C62" s="5"/>
      <c r="D62" s="5"/>
      <c r="E62" s="5"/>
    </row>
    <row r="63" spans="1:5" s="8" customFormat="1" x14ac:dyDescent="0.2">
      <c r="B63" s="5"/>
      <c r="C63" s="5"/>
      <c r="D63" s="5"/>
      <c r="E63" s="5"/>
    </row>
    <row r="64" spans="1:5" s="8" customFormat="1" x14ac:dyDescent="0.2">
      <c r="B64" s="5"/>
      <c r="C64" s="5"/>
      <c r="D64" s="5"/>
      <c r="E64" s="5"/>
    </row>
    <row r="65" s="8" customFormat="1" x14ac:dyDescent="0.2"/>
  </sheetData>
  <mergeCells count="2">
    <mergeCell ref="A1:E1"/>
    <mergeCell ref="A47:E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52"/>
  <sheetViews>
    <sheetView workbookViewId="0">
      <selection activeCell="M12" sqref="M12"/>
    </sheetView>
  </sheetViews>
  <sheetFormatPr defaultRowHeight="12.75" x14ac:dyDescent="0.2"/>
  <cols>
    <col min="1" max="1" width="22.7109375" style="8" customWidth="1"/>
    <col min="2" max="2" width="8.140625" style="8" customWidth="1"/>
    <col min="3" max="5" width="6.42578125" style="8" bestFit="1" customWidth="1"/>
    <col min="6" max="6" width="7" style="8" bestFit="1" customWidth="1"/>
    <col min="7" max="7" width="6.42578125" style="8" bestFit="1" customWidth="1"/>
    <col min="8" max="8" width="6.42578125" style="284" customWidth="1"/>
    <col min="9" max="9" width="6.42578125" style="8" customWidth="1"/>
    <col min="10" max="10" width="7.28515625" customWidth="1"/>
    <col min="11" max="11" width="9.140625" style="148"/>
    <col min="13" max="13" width="16.85546875" customWidth="1"/>
  </cols>
  <sheetData>
    <row r="1" spans="1:15" s="204" customFormat="1" x14ac:dyDescent="0.2">
      <c r="A1" s="204" t="s">
        <v>268</v>
      </c>
      <c r="H1" s="283"/>
      <c r="K1" s="185"/>
      <c r="L1" s="406"/>
    </row>
    <row r="2" spans="1:15" s="8" customFormat="1" x14ac:dyDescent="0.2">
      <c r="H2" s="284"/>
      <c r="K2" s="9"/>
    </row>
    <row r="3" spans="1:15" s="7" customFormat="1" x14ac:dyDescent="0.2">
      <c r="A3" s="536" t="s">
        <v>176</v>
      </c>
      <c r="B3" s="536"/>
      <c r="C3" s="146"/>
      <c r="H3" s="285"/>
      <c r="M3" s="146"/>
      <c r="N3" s="146"/>
      <c r="O3" s="146"/>
    </row>
    <row r="4" spans="1:15" s="7" customFormat="1" ht="25.5" x14ac:dyDescent="0.2">
      <c r="A4" s="227" t="s">
        <v>297</v>
      </c>
      <c r="B4" s="133" t="s">
        <v>291</v>
      </c>
      <c r="C4" s="224"/>
      <c r="H4" s="285"/>
      <c r="M4" s="223"/>
      <c r="N4" s="224"/>
      <c r="O4" s="224"/>
    </row>
    <row r="5" spans="1:15" s="7" customFormat="1" x14ac:dyDescent="0.2">
      <c r="A5" s="281" t="s">
        <v>177</v>
      </c>
      <c r="B5" s="281"/>
      <c r="C5" s="224"/>
      <c r="H5" s="285"/>
      <c r="M5" s="223"/>
      <c r="N5" s="224"/>
      <c r="O5" s="224"/>
    </row>
    <row r="6" spans="1:15" s="7" customFormat="1" x14ac:dyDescent="0.2">
      <c r="A6" s="227" t="s">
        <v>178</v>
      </c>
      <c r="B6" s="133" t="s">
        <v>179</v>
      </c>
      <c r="C6" s="224"/>
      <c r="H6" s="285"/>
      <c r="M6" s="223"/>
      <c r="N6" s="224"/>
      <c r="O6" s="224"/>
    </row>
    <row r="7" spans="1:15" s="7" customFormat="1" ht="15.75" customHeight="1" thickBot="1" x14ac:dyDescent="0.25">
      <c r="A7" s="228" t="s">
        <v>180</v>
      </c>
      <c r="B7" s="141" t="s">
        <v>181</v>
      </c>
      <c r="H7" s="285"/>
    </row>
    <row r="8" spans="1:15" x14ac:dyDescent="0.2">
      <c r="A8" s="225"/>
      <c r="B8" s="226"/>
    </row>
    <row r="9" spans="1:15" s="205" customFormat="1" x14ac:dyDescent="0.2">
      <c r="A9" s="204" t="s">
        <v>298</v>
      </c>
      <c r="B9" s="204"/>
      <c r="C9" s="204"/>
      <c r="D9" s="204"/>
      <c r="E9" s="204"/>
      <c r="F9" s="204"/>
      <c r="G9" s="204"/>
      <c r="H9" s="283"/>
      <c r="I9" s="204"/>
      <c r="K9" s="408"/>
    </row>
    <row r="10" spans="1:15" s="215" customFormat="1" x14ac:dyDescent="0.2">
      <c r="A10" s="213"/>
      <c r="B10" s="214">
        <v>2006</v>
      </c>
      <c r="C10" s="214">
        <v>2007</v>
      </c>
      <c r="D10" s="214">
        <v>2008</v>
      </c>
      <c r="E10" s="214">
        <v>2009</v>
      </c>
      <c r="F10" s="214">
        <v>2010</v>
      </c>
      <c r="G10" s="214">
        <v>2011</v>
      </c>
      <c r="H10" s="214">
        <v>2012</v>
      </c>
      <c r="I10" s="367">
        <v>2013</v>
      </c>
      <c r="J10" s="367">
        <v>2014</v>
      </c>
      <c r="K10" s="367">
        <v>2015</v>
      </c>
      <c r="L10" s="286">
        <v>2016</v>
      </c>
    </row>
    <row r="11" spans="1:15" s="147" customFormat="1" x14ac:dyDescent="0.2">
      <c r="A11" s="179" t="s">
        <v>163</v>
      </c>
      <c r="B11" s="146"/>
      <c r="C11" s="178"/>
      <c r="D11" s="188"/>
      <c r="E11" s="188"/>
      <c r="F11" s="7"/>
      <c r="G11" s="7"/>
      <c r="H11" s="189"/>
      <c r="I11" s="285"/>
      <c r="J11" s="285"/>
      <c r="K11" s="285"/>
      <c r="L11" s="287"/>
    </row>
    <row r="12" spans="1:15" s="147" customFormat="1" x14ac:dyDescent="0.2">
      <c r="A12" s="184" t="s">
        <v>164</v>
      </c>
      <c r="B12" s="192">
        <v>19.8</v>
      </c>
      <c r="C12" s="192">
        <v>36.1</v>
      </c>
      <c r="D12" s="192">
        <v>39.700000000000003</v>
      </c>
      <c r="E12" s="192">
        <v>7.05</v>
      </c>
      <c r="F12" s="189">
        <v>24.939</v>
      </c>
      <c r="G12" s="189">
        <v>23.119</v>
      </c>
      <c r="H12" s="189">
        <v>10.039</v>
      </c>
      <c r="I12" s="328">
        <v>5.85</v>
      </c>
      <c r="J12" s="328">
        <v>2.21</v>
      </c>
      <c r="K12" s="328">
        <v>1.7</v>
      </c>
      <c r="L12" s="330">
        <v>2.15</v>
      </c>
    </row>
    <row r="13" spans="1:15" s="147" customFormat="1" ht="13.5" customHeight="1" x14ac:dyDescent="0.2">
      <c r="A13" s="184" t="s">
        <v>165</v>
      </c>
      <c r="B13" s="192">
        <v>23.5</v>
      </c>
      <c r="C13" s="192">
        <v>51.36</v>
      </c>
      <c r="D13" s="192">
        <v>50.2</v>
      </c>
      <c r="E13" s="192">
        <v>14.97</v>
      </c>
      <c r="F13" s="189">
        <v>34.533999999999999</v>
      </c>
      <c r="G13" s="189">
        <v>27.145</v>
      </c>
      <c r="H13" s="189">
        <v>11.21</v>
      </c>
      <c r="I13" s="328">
        <v>6.0970000000000004</v>
      </c>
      <c r="J13" s="328">
        <v>2.2839999999999998</v>
      </c>
      <c r="K13" s="328">
        <v>3</v>
      </c>
      <c r="L13" s="330">
        <v>3.35</v>
      </c>
    </row>
    <row r="14" spans="1:15" s="209" customFormat="1" x14ac:dyDescent="0.2">
      <c r="A14" s="206" t="s">
        <v>166</v>
      </c>
      <c r="B14" s="207">
        <v>20</v>
      </c>
      <c r="C14" s="207">
        <v>45.5</v>
      </c>
      <c r="D14" s="207">
        <v>41.8</v>
      </c>
      <c r="E14" s="207">
        <v>9.25</v>
      </c>
      <c r="F14" s="208">
        <v>33.743000000000002</v>
      </c>
      <c r="G14" s="208">
        <v>24.225000000000001</v>
      </c>
      <c r="H14" s="189">
        <v>10.423999999999999</v>
      </c>
      <c r="I14" s="329">
        <v>5.9489999999999998</v>
      </c>
      <c r="J14" s="329">
        <v>2.2440000000000002</v>
      </c>
      <c r="K14" s="329">
        <v>2.29</v>
      </c>
      <c r="L14" s="331">
        <v>3.105</v>
      </c>
    </row>
    <row r="15" spans="1:15" s="198" customFormat="1" x14ac:dyDescent="0.2">
      <c r="A15" s="197" t="s">
        <v>167</v>
      </c>
      <c r="B15" s="203"/>
      <c r="C15" s="210"/>
      <c r="D15" s="210"/>
      <c r="E15" s="210"/>
      <c r="F15" s="212"/>
      <c r="G15" s="212"/>
      <c r="H15" s="295"/>
      <c r="I15" s="191"/>
      <c r="J15" s="191"/>
      <c r="K15" s="191"/>
      <c r="L15" s="332"/>
    </row>
    <row r="16" spans="1:15" s="147" customFormat="1" x14ac:dyDescent="0.2">
      <c r="A16" s="184" t="s">
        <v>164</v>
      </c>
      <c r="B16" s="192">
        <v>15</v>
      </c>
      <c r="C16" s="192">
        <v>34.5</v>
      </c>
      <c r="D16" s="192">
        <v>37</v>
      </c>
      <c r="E16" s="192">
        <v>9.0500000000000007</v>
      </c>
      <c r="F16" s="189">
        <v>22.623000000000001</v>
      </c>
      <c r="G16" s="189">
        <v>16.914000000000001</v>
      </c>
      <c r="H16" s="296">
        <v>6.5650000000000004</v>
      </c>
      <c r="I16" s="328">
        <v>4.5750000000000002</v>
      </c>
      <c r="J16" s="328">
        <v>2.7</v>
      </c>
      <c r="K16" s="328">
        <v>2.14</v>
      </c>
      <c r="L16" s="330">
        <v>2.6749999999999998</v>
      </c>
    </row>
    <row r="17" spans="1:12" s="147" customFormat="1" ht="12" customHeight="1" x14ac:dyDescent="0.2">
      <c r="A17" s="184" t="s">
        <v>168</v>
      </c>
      <c r="B17" s="192">
        <v>18</v>
      </c>
      <c r="C17" s="192">
        <v>47.5</v>
      </c>
      <c r="D17" s="192">
        <v>45</v>
      </c>
      <c r="E17" s="192">
        <v>20.79</v>
      </c>
      <c r="F17" s="189">
        <v>35.21</v>
      </c>
      <c r="G17" s="189">
        <v>24.189</v>
      </c>
      <c r="H17" s="296">
        <v>10.824</v>
      </c>
      <c r="I17" s="328">
        <v>4.5780000000000003</v>
      </c>
      <c r="J17" s="328">
        <v>2.9</v>
      </c>
      <c r="K17" s="328">
        <v>4.2450000000000001</v>
      </c>
      <c r="L17" s="330">
        <v>3.4750000000000001</v>
      </c>
    </row>
    <row r="18" spans="1:12" s="209" customFormat="1" x14ac:dyDescent="0.2">
      <c r="A18" s="206" t="s">
        <v>166</v>
      </c>
      <c r="B18" s="207">
        <v>15</v>
      </c>
      <c r="C18" s="207">
        <v>44.2</v>
      </c>
      <c r="D18" s="207">
        <v>45</v>
      </c>
      <c r="E18" s="207">
        <v>16.600000000000001</v>
      </c>
      <c r="F18" s="208">
        <v>22.623000000000001</v>
      </c>
      <c r="G18" s="208">
        <v>16.914000000000001</v>
      </c>
      <c r="H18" s="297">
        <v>6.6059999999999999</v>
      </c>
      <c r="I18" s="329">
        <v>4.5750000000000002</v>
      </c>
      <c r="J18" s="329">
        <v>2.9</v>
      </c>
      <c r="K18" s="329">
        <v>2.9</v>
      </c>
      <c r="L18" s="331">
        <v>2.895</v>
      </c>
    </row>
    <row r="19" spans="1:12" s="198" customFormat="1" x14ac:dyDescent="0.2">
      <c r="A19" s="197" t="s">
        <v>169</v>
      </c>
      <c r="B19" s="203"/>
      <c r="C19" s="210"/>
      <c r="D19" s="210"/>
      <c r="E19" s="210"/>
      <c r="F19" s="212"/>
      <c r="G19" s="212"/>
      <c r="H19" s="295"/>
      <c r="I19" s="328"/>
      <c r="J19" s="328"/>
      <c r="K19" s="328"/>
      <c r="L19" s="330"/>
    </row>
    <row r="20" spans="1:12" s="147" customFormat="1" x14ac:dyDescent="0.2">
      <c r="A20" s="184" t="s">
        <v>164</v>
      </c>
      <c r="B20" s="192">
        <v>14.5</v>
      </c>
      <c r="C20" s="192">
        <v>36.25</v>
      </c>
      <c r="D20" s="192">
        <v>35</v>
      </c>
      <c r="E20" s="192">
        <v>16.91</v>
      </c>
      <c r="F20" s="190">
        <v>21.524999999999999</v>
      </c>
      <c r="G20" s="189">
        <v>12.707000000000001</v>
      </c>
      <c r="H20" s="285">
        <v>5.47</v>
      </c>
      <c r="I20" s="328">
        <v>3.1880000000000002</v>
      </c>
      <c r="J20" s="328">
        <v>2.38</v>
      </c>
      <c r="K20" s="328">
        <v>1.575</v>
      </c>
      <c r="L20" s="330">
        <v>2.85</v>
      </c>
    </row>
    <row r="21" spans="1:12" s="147" customFormat="1" ht="12" customHeight="1" x14ac:dyDescent="0.2">
      <c r="A21" s="184" t="s">
        <v>165</v>
      </c>
      <c r="B21" s="192">
        <v>20.5</v>
      </c>
      <c r="C21" s="192">
        <v>45</v>
      </c>
      <c r="D21" s="192">
        <v>47</v>
      </c>
      <c r="E21" s="194">
        <v>25.01</v>
      </c>
      <c r="F21" s="189">
        <v>23.792999999999999</v>
      </c>
      <c r="G21" s="189">
        <v>13</v>
      </c>
      <c r="H21" s="285">
        <v>7.33</v>
      </c>
      <c r="I21" s="328">
        <v>3.3319999999999999</v>
      </c>
      <c r="J21" s="328">
        <v>2.577</v>
      </c>
      <c r="K21" s="328">
        <v>3.0449999999999999</v>
      </c>
      <c r="L21" s="330">
        <v>5.9</v>
      </c>
    </row>
    <row r="22" spans="1:12" s="209" customFormat="1" x14ac:dyDescent="0.2">
      <c r="A22" s="206" t="s">
        <v>166</v>
      </c>
      <c r="B22" s="207">
        <v>20.5</v>
      </c>
      <c r="C22" s="207">
        <v>36.25</v>
      </c>
      <c r="D22" s="207">
        <v>35</v>
      </c>
      <c r="E22" s="207">
        <v>25.01</v>
      </c>
      <c r="F22" s="208">
        <v>23.571000000000002</v>
      </c>
      <c r="G22" s="208">
        <v>12.999000000000001</v>
      </c>
      <c r="H22" s="297">
        <v>6.9889999999999999</v>
      </c>
      <c r="I22" s="329">
        <v>3.2370000000000001</v>
      </c>
      <c r="J22" s="329">
        <v>2.4329999999999998</v>
      </c>
      <c r="K22" s="329">
        <v>2.6349999999999998</v>
      </c>
      <c r="L22" s="331">
        <v>5.4349999999999996</v>
      </c>
    </row>
    <row r="23" spans="1:12" s="147" customFormat="1" x14ac:dyDescent="0.2">
      <c r="A23" s="179" t="s">
        <v>170</v>
      </c>
      <c r="B23" s="193"/>
      <c r="C23" s="192"/>
      <c r="D23" s="195"/>
      <c r="E23" s="195"/>
      <c r="F23" s="191"/>
      <c r="G23" s="191"/>
      <c r="H23" s="285"/>
      <c r="I23" s="191"/>
      <c r="J23" s="191"/>
      <c r="K23" s="191"/>
      <c r="L23" s="332"/>
    </row>
    <row r="24" spans="1:12" s="147" customFormat="1" x14ac:dyDescent="0.2">
      <c r="A24" s="177" t="s">
        <v>164</v>
      </c>
      <c r="B24" s="192">
        <v>21</v>
      </c>
      <c r="C24" s="192">
        <v>30</v>
      </c>
      <c r="D24" s="192">
        <v>12.01</v>
      </c>
      <c r="E24" s="192">
        <v>23.15</v>
      </c>
      <c r="F24" s="189">
        <v>23.608000000000001</v>
      </c>
      <c r="G24" s="191">
        <v>9.84</v>
      </c>
      <c r="H24" s="298">
        <v>6.5</v>
      </c>
      <c r="I24" s="328">
        <v>2.3159999999999998</v>
      </c>
      <c r="J24" s="328">
        <v>1.7450000000000001</v>
      </c>
      <c r="K24" s="328">
        <v>2.2250000000000001</v>
      </c>
      <c r="L24" s="330">
        <v>2.15</v>
      </c>
    </row>
    <row r="25" spans="1:12" s="147" customFormat="1" ht="12.75" customHeight="1" x14ac:dyDescent="0.2">
      <c r="A25" s="177" t="s">
        <v>165</v>
      </c>
      <c r="B25" s="192">
        <v>54</v>
      </c>
      <c r="C25" s="192">
        <v>49.49</v>
      </c>
      <c r="D25" s="192">
        <v>39</v>
      </c>
      <c r="E25" s="194">
        <v>29.06</v>
      </c>
      <c r="F25" s="189">
        <v>27.111999999999998</v>
      </c>
      <c r="G25" s="191">
        <v>14.384</v>
      </c>
      <c r="H25" s="285">
        <v>6.62</v>
      </c>
      <c r="I25" s="328">
        <v>2.4990000000000001</v>
      </c>
      <c r="J25" s="328">
        <v>1.875</v>
      </c>
      <c r="K25" s="328">
        <v>3.1749999999999998</v>
      </c>
      <c r="L25" s="330">
        <v>6.25</v>
      </c>
    </row>
    <row r="26" spans="1:12" s="202" customFormat="1" ht="13.5" thickBot="1" x14ac:dyDescent="0.25">
      <c r="A26" s="199" t="s">
        <v>166</v>
      </c>
      <c r="B26" s="200">
        <v>46</v>
      </c>
      <c r="C26" s="200">
        <v>45.75</v>
      </c>
      <c r="D26" s="200">
        <v>13.13</v>
      </c>
      <c r="E26" s="200">
        <v>23.28</v>
      </c>
      <c r="F26" s="201">
        <v>25.951000000000001</v>
      </c>
      <c r="G26" s="144">
        <v>9.84</v>
      </c>
      <c r="H26" s="299">
        <v>6.55</v>
      </c>
      <c r="I26" s="368">
        <v>2.3199999999999998</v>
      </c>
      <c r="J26" s="368">
        <v>1.75</v>
      </c>
      <c r="K26" s="368">
        <v>2.2799999999999998</v>
      </c>
      <c r="L26" s="333">
        <v>5.5049999999999999</v>
      </c>
    </row>
    <row r="27" spans="1:12" s="147" customFormat="1" x14ac:dyDescent="0.2">
      <c r="A27" s="7"/>
      <c r="B27" s="7"/>
      <c r="C27" s="7"/>
      <c r="D27" s="7"/>
      <c r="E27" s="7"/>
      <c r="F27" s="7"/>
      <c r="G27" s="7"/>
      <c r="H27" s="285"/>
      <c r="I27" s="7"/>
    </row>
    <row r="28" spans="1:12" s="218" customFormat="1" x14ac:dyDescent="0.2">
      <c r="A28" s="217" t="s">
        <v>299</v>
      </c>
      <c r="B28" s="217"/>
      <c r="C28" s="217"/>
      <c r="D28" s="217"/>
      <c r="E28" s="217"/>
      <c r="F28" s="217"/>
      <c r="G28" s="217"/>
      <c r="H28" s="288"/>
      <c r="I28" s="217"/>
      <c r="J28" s="389"/>
      <c r="K28" s="389"/>
    </row>
    <row r="29" spans="1:12" s="218" customFormat="1" x14ac:dyDescent="0.2">
      <c r="A29" s="217"/>
      <c r="B29" s="310">
        <v>2006</v>
      </c>
      <c r="C29" s="310">
        <v>2007</v>
      </c>
      <c r="D29" s="310">
        <v>2008</v>
      </c>
      <c r="E29" s="310">
        <v>2009</v>
      </c>
      <c r="F29" s="310">
        <v>2010</v>
      </c>
      <c r="G29" s="310">
        <v>2011</v>
      </c>
      <c r="H29" s="311">
        <v>2012</v>
      </c>
      <c r="I29" s="369">
        <v>2013</v>
      </c>
      <c r="J29" s="369">
        <v>2014</v>
      </c>
      <c r="K29" s="367">
        <v>2015</v>
      </c>
      <c r="L29" s="286">
        <v>2016</v>
      </c>
    </row>
    <row r="30" spans="1:12" s="198" customFormat="1" x14ac:dyDescent="0.2">
      <c r="A30" s="197" t="s">
        <v>163</v>
      </c>
      <c r="K30" s="369"/>
      <c r="L30" s="312"/>
    </row>
    <row r="31" spans="1:12" s="147" customFormat="1" x14ac:dyDescent="0.2">
      <c r="A31" s="184" t="s">
        <v>164</v>
      </c>
      <c r="B31" s="192" t="s">
        <v>39</v>
      </c>
      <c r="C31" s="192">
        <v>28</v>
      </c>
      <c r="D31" s="192">
        <v>33.25</v>
      </c>
      <c r="E31" s="192">
        <v>7</v>
      </c>
      <c r="F31" s="189">
        <v>22.196000000000002</v>
      </c>
      <c r="G31" s="189">
        <v>35.941000000000003</v>
      </c>
      <c r="H31" s="298">
        <v>22.358000000000001</v>
      </c>
      <c r="I31" s="328">
        <v>12.705</v>
      </c>
      <c r="J31" s="328">
        <v>13.545</v>
      </c>
      <c r="K31" s="328">
        <v>9.9499999999999993</v>
      </c>
      <c r="L31" s="330">
        <v>11.6</v>
      </c>
    </row>
    <row r="32" spans="1:12" s="147" customFormat="1" x14ac:dyDescent="0.2">
      <c r="A32" s="184" t="s">
        <v>165</v>
      </c>
      <c r="B32" s="192" t="s">
        <v>39</v>
      </c>
      <c r="C32" s="192">
        <v>36.75</v>
      </c>
      <c r="D32" s="192">
        <v>41</v>
      </c>
      <c r="E32" s="192">
        <v>12.66</v>
      </c>
      <c r="F32" s="189">
        <v>28.643000000000001</v>
      </c>
      <c r="G32" s="189">
        <v>46.820999999999998</v>
      </c>
      <c r="H32" s="298">
        <v>26.315000000000001</v>
      </c>
      <c r="I32" s="328">
        <v>13.395</v>
      </c>
      <c r="J32" s="328">
        <v>13.95</v>
      </c>
      <c r="K32" s="328">
        <v>13.15</v>
      </c>
      <c r="L32" s="330">
        <v>14.65</v>
      </c>
    </row>
    <row r="33" spans="1:12" s="209" customFormat="1" x14ac:dyDescent="0.2">
      <c r="A33" s="206" t="s">
        <v>166</v>
      </c>
      <c r="B33" s="207" t="s">
        <v>39</v>
      </c>
      <c r="C33" s="207">
        <v>34.5</v>
      </c>
      <c r="D33" s="207">
        <v>36</v>
      </c>
      <c r="E33" s="207">
        <v>12.5</v>
      </c>
      <c r="F33" s="208">
        <v>28.643000000000001</v>
      </c>
      <c r="G33" s="208">
        <v>45.953000000000003</v>
      </c>
      <c r="H33" s="298">
        <v>23.405999999999999</v>
      </c>
      <c r="I33" s="329">
        <v>13.032999999999999</v>
      </c>
      <c r="J33" s="329">
        <v>13.95</v>
      </c>
      <c r="K33" s="329">
        <v>10.199999999999999</v>
      </c>
      <c r="L33" s="331">
        <v>14.5</v>
      </c>
    </row>
    <row r="34" spans="1:12" s="198" customFormat="1" x14ac:dyDescent="0.2">
      <c r="A34" s="197" t="s">
        <v>167</v>
      </c>
      <c r="B34" s="210"/>
      <c r="C34" s="211"/>
      <c r="D34" s="210"/>
      <c r="E34" s="211"/>
      <c r="F34" s="210"/>
      <c r="G34" s="211"/>
      <c r="H34" s="300"/>
      <c r="I34" s="212"/>
      <c r="J34" s="212"/>
      <c r="K34" s="212"/>
      <c r="L34" s="334"/>
    </row>
    <row r="35" spans="1:12" s="147" customFormat="1" x14ac:dyDescent="0.2">
      <c r="A35" s="184" t="s">
        <v>164</v>
      </c>
      <c r="B35" s="192" t="s">
        <v>39</v>
      </c>
      <c r="C35" s="192">
        <v>30.01</v>
      </c>
      <c r="D35" s="192">
        <v>27.5</v>
      </c>
      <c r="E35" s="192">
        <v>8.8000000000000007</v>
      </c>
      <c r="F35" s="189">
        <v>25.317</v>
      </c>
      <c r="G35" s="248">
        <v>36.22</v>
      </c>
      <c r="H35" s="285">
        <v>16.484000000000002</v>
      </c>
      <c r="I35" s="328">
        <v>11.8</v>
      </c>
      <c r="J35" s="328">
        <v>14.93</v>
      </c>
      <c r="K35" s="328">
        <v>9.25</v>
      </c>
      <c r="L35" s="330">
        <v>13.8</v>
      </c>
    </row>
    <row r="36" spans="1:12" s="147" customFormat="1" x14ac:dyDescent="0.2">
      <c r="A36" s="184" t="s">
        <v>168</v>
      </c>
      <c r="B36" s="192" t="s">
        <v>39</v>
      </c>
      <c r="C36" s="192">
        <v>35</v>
      </c>
      <c r="D36" s="192">
        <v>35.5</v>
      </c>
      <c r="E36" s="192">
        <v>19.3</v>
      </c>
      <c r="F36" s="196">
        <v>35.433999999999997</v>
      </c>
      <c r="G36" s="248">
        <v>46.161000000000001</v>
      </c>
      <c r="H36" s="285">
        <v>23.984999999999999</v>
      </c>
      <c r="I36" s="328">
        <v>12</v>
      </c>
      <c r="J36" s="328">
        <v>15</v>
      </c>
      <c r="K36" s="328">
        <v>17</v>
      </c>
      <c r="L36" s="330">
        <v>16.350000000000001</v>
      </c>
    </row>
    <row r="37" spans="1:12" s="209" customFormat="1" x14ac:dyDescent="0.2">
      <c r="A37" s="206" t="s">
        <v>166</v>
      </c>
      <c r="B37" s="207" t="s">
        <v>39</v>
      </c>
      <c r="C37" s="207">
        <v>33.99</v>
      </c>
      <c r="D37" s="207">
        <v>32.6</v>
      </c>
      <c r="E37" s="207">
        <v>18.11</v>
      </c>
      <c r="F37" s="172">
        <v>25.896000000000001</v>
      </c>
      <c r="G37" s="249">
        <v>36.79</v>
      </c>
      <c r="H37" s="301">
        <v>17.023</v>
      </c>
      <c r="I37" s="329">
        <v>12</v>
      </c>
      <c r="J37" s="329">
        <v>15</v>
      </c>
      <c r="K37" s="329">
        <v>11.9</v>
      </c>
      <c r="L37" s="331">
        <v>15.05</v>
      </c>
    </row>
    <row r="38" spans="1:12" s="198" customFormat="1" x14ac:dyDescent="0.2">
      <c r="A38" s="197" t="s">
        <v>169</v>
      </c>
      <c r="B38" s="210"/>
      <c r="C38" s="211"/>
      <c r="D38" s="210"/>
      <c r="E38" s="211"/>
      <c r="F38" s="210"/>
      <c r="G38" s="211"/>
      <c r="H38" s="300"/>
      <c r="I38" s="212"/>
      <c r="J38" s="212"/>
      <c r="K38" s="212"/>
      <c r="L38" s="334"/>
    </row>
    <row r="39" spans="1:12" s="147" customFormat="1" x14ac:dyDescent="0.2">
      <c r="A39" s="184" t="s">
        <v>164</v>
      </c>
      <c r="B39" s="192">
        <v>12</v>
      </c>
      <c r="C39" s="192">
        <v>27</v>
      </c>
      <c r="D39" s="192">
        <v>25</v>
      </c>
      <c r="E39" s="192">
        <v>16.41</v>
      </c>
      <c r="F39" s="190">
        <v>24.54</v>
      </c>
      <c r="G39" s="192">
        <v>21.434999999999999</v>
      </c>
      <c r="H39" s="298">
        <v>15.271000000000001</v>
      </c>
      <c r="I39" s="328">
        <v>11.775</v>
      </c>
      <c r="J39" s="328">
        <v>14.3</v>
      </c>
      <c r="K39" s="328">
        <v>10.3</v>
      </c>
      <c r="L39" s="330">
        <v>15.1</v>
      </c>
    </row>
    <row r="40" spans="1:12" s="147" customFormat="1" x14ac:dyDescent="0.2">
      <c r="A40" s="184" t="s">
        <v>165</v>
      </c>
      <c r="B40" s="192">
        <v>18.75</v>
      </c>
      <c r="C40" s="192">
        <v>34.9</v>
      </c>
      <c r="D40" s="192">
        <v>34.799999999999997</v>
      </c>
      <c r="E40" s="192">
        <v>27.63</v>
      </c>
      <c r="F40" s="189">
        <v>31.393000000000001</v>
      </c>
      <c r="G40" s="192">
        <v>37.256</v>
      </c>
      <c r="H40" s="298">
        <v>19.5</v>
      </c>
      <c r="I40" s="328">
        <v>12</v>
      </c>
      <c r="J40" s="328">
        <v>14.618</v>
      </c>
      <c r="K40" s="328">
        <v>12.95</v>
      </c>
      <c r="L40" s="330">
        <v>46.95</v>
      </c>
    </row>
    <row r="41" spans="1:12" s="209" customFormat="1" x14ac:dyDescent="0.2">
      <c r="A41" s="206" t="s">
        <v>166</v>
      </c>
      <c r="B41" s="207">
        <v>15.6</v>
      </c>
      <c r="C41" s="207">
        <v>27</v>
      </c>
      <c r="D41" s="207">
        <v>30</v>
      </c>
      <c r="E41" s="207">
        <v>22.87</v>
      </c>
      <c r="F41" s="172">
        <v>31.393000000000001</v>
      </c>
      <c r="G41" s="207">
        <v>21.434999999999999</v>
      </c>
      <c r="H41" s="297">
        <v>18.300999999999998</v>
      </c>
      <c r="I41" s="329">
        <v>11.782</v>
      </c>
      <c r="J41" s="329">
        <v>14.618</v>
      </c>
      <c r="K41" s="329">
        <v>12.1</v>
      </c>
      <c r="L41" s="331">
        <v>43.9</v>
      </c>
    </row>
    <row r="42" spans="1:12" s="147" customFormat="1" x14ac:dyDescent="0.2">
      <c r="A42" s="179" t="s">
        <v>170</v>
      </c>
      <c r="B42" s="192"/>
      <c r="C42" s="194"/>
      <c r="D42" s="192"/>
      <c r="E42" s="194"/>
      <c r="F42" s="192"/>
      <c r="G42" s="194"/>
      <c r="H42" s="298"/>
      <c r="I42" s="191"/>
      <c r="J42" s="191"/>
      <c r="K42" s="191"/>
      <c r="L42" s="332"/>
    </row>
    <row r="43" spans="1:12" s="147" customFormat="1" x14ac:dyDescent="0.2">
      <c r="A43" s="177" t="s">
        <v>164</v>
      </c>
      <c r="B43" s="192">
        <v>14.42</v>
      </c>
      <c r="C43" s="192">
        <v>25.5</v>
      </c>
      <c r="D43" s="192">
        <v>8.1999999999999993</v>
      </c>
      <c r="E43" s="192">
        <v>21.64</v>
      </c>
      <c r="F43" s="189">
        <v>31.311</v>
      </c>
      <c r="G43" s="192">
        <v>20.501000000000001</v>
      </c>
      <c r="H43" s="298">
        <v>17.5</v>
      </c>
      <c r="I43" s="328">
        <v>11.175000000000001</v>
      </c>
      <c r="J43" s="328">
        <v>10.7</v>
      </c>
      <c r="K43" s="328">
        <v>11.55</v>
      </c>
      <c r="L43" s="330">
        <v>11.6</v>
      </c>
    </row>
    <row r="44" spans="1:12" s="147" customFormat="1" x14ac:dyDescent="0.2">
      <c r="A44" s="177" t="s">
        <v>165</v>
      </c>
      <c r="B44" s="192">
        <v>35.9</v>
      </c>
      <c r="C44" s="192">
        <v>47</v>
      </c>
      <c r="D44" s="192">
        <v>30</v>
      </c>
      <c r="E44" s="192">
        <v>24.32</v>
      </c>
      <c r="F44" s="189">
        <v>36.625999999999998</v>
      </c>
      <c r="G44" s="192">
        <v>28.817</v>
      </c>
      <c r="H44" s="298">
        <v>17.66</v>
      </c>
      <c r="I44" s="328">
        <v>11.398999999999999</v>
      </c>
      <c r="J44" s="328">
        <v>12.25</v>
      </c>
      <c r="K44" s="328">
        <v>14.9</v>
      </c>
      <c r="L44" s="330">
        <v>51.1</v>
      </c>
    </row>
    <row r="45" spans="1:12" s="202" customFormat="1" ht="13.5" thickBot="1" x14ac:dyDescent="0.25">
      <c r="A45" s="199" t="s">
        <v>166</v>
      </c>
      <c r="B45" s="200">
        <v>30.95</v>
      </c>
      <c r="C45" s="200">
        <v>42</v>
      </c>
      <c r="D45" s="200">
        <v>8.51</v>
      </c>
      <c r="E45" s="200">
        <v>22.78</v>
      </c>
      <c r="F45" s="76">
        <v>35.82</v>
      </c>
      <c r="G45" s="200">
        <v>21.736999999999998</v>
      </c>
      <c r="H45" s="302">
        <v>17.600000000000001</v>
      </c>
      <c r="I45" s="368">
        <v>11.374000000000001</v>
      </c>
      <c r="J45" s="368">
        <v>11.2</v>
      </c>
      <c r="K45" s="368">
        <v>11.85</v>
      </c>
      <c r="L45" s="333">
        <v>45.4</v>
      </c>
    </row>
    <row r="46" spans="1:12" s="147" customFormat="1" x14ac:dyDescent="0.2">
      <c r="A46" s="7"/>
      <c r="B46" s="7"/>
      <c r="C46" s="7"/>
      <c r="D46" s="7"/>
      <c r="E46" s="7"/>
      <c r="F46" s="216"/>
      <c r="G46" s="7"/>
      <c r="H46" s="285"/>
      <c r="I46" s="7"/>
    </row>
    <row r="47" spans="1:12" s="218" customFormat="1" x14ac:dyDescent="0.2">
      <c r="A47" s="217" t="s">
        <v>300</v>
      </c>
      <c r="B47" s="217"/>
      <c r="C47" s="217"/>
      <c r="D47" s="217"/>
      <c r="E47" s="217"/>
      <c r="F47" s="217"/>
      <c r="G47" s="217"/>
      <c r="H47" s="288"/>
      <c r="I47" s="217"/>
      <c r="J47" s="389"/>
      <c r="K47" s="389"/>
    </row>
    <row r="48" spans="1:12" s="209" customFormat="1" x14ac:dyDescent="0.2">
      <c r="A48" s="219"/>
      <c r="B48" s="220">
        <v>2006</v>
      </c>
      <c r="C48" s="220">
        <v>2007</v>
      </c>
      <c r="D48" s="220">
        <v>2008</v>
      </c>
      <c r="E48" s="220">
        <v>2009</v>
      </c>
      <c r="F48" s="220">
        <v>2010</v>
      </c>
      <c r="G48" s="220">
        <v>2011</v>
      </c>
      <c r="H48" s="289">
        <v>2012</v>
      </c>
      <c r="I48" s="289">
        <v>2013</v>
      </c>
      <c r="J48" s="289">
        <v>2014</v>
      </c>
      <c r="K48" s="289">
        <v>2015</v>
      </c>
      <c r="L48" s="306">
        <v>2016</v>
      </c>
    </row>
    <row r="49" spans="1:12" s="202" customFormat="1" ht="13.5" thickBot="1" x14ac:dyDescent="0.25">
      <c r="A49" s="186" t="s">
        <v>162</v>
      </c>
      <c r="B49" s="221" t="s">
        <v>174</v>
      </c>
      <c r="C49" s="221" t="s">
        <v>171</v>
      </c>
      <c r="D49" s="221" t="s">
        <v>173</v>
      </c>
      <c r="E49" s="221" t="s">
        <v>175</v>
      </c>
      <c r="F49" s="222">
        <v>27372</v>
      </c>
      <c r="G49" s="145">
        <v>11139</v>
      </c>
      <c r="H49" s="221">
        <v>7759</v>
      </c>
      <c r="I49" s="221">
        <v>3741</v>
      </c>
      <c r="J49" s="221">
        <v>3040</v>
      </c>
      <c r="K49" s="221">
        <v>4900</v>
      </c>
      <c r="L49" s="290">
        <v>13335</v>
      </c>
    </row>
    <row r="50" spans="1:12" s="147" customFormat="1" x14ac:dyDescent="0.2">
      <c r="A50" s="8" t="s">
        <v>172</v>
      </c>
      <c r="B50" s="7"/>
      <c r="C50" s="7"/>
      <c r="D50" s="7"/>
      <c r="E50" s="7"/>
      <c r="F50" s="7"/>
      <c r="G50" s="7"/>
      <c r="H50" s="285"/>
      <c r="I50" s="7"/>
    </row>
    <row r="51" spans="1:12" s="147" customFormat="1" x14ac:dyDescent="0.2">
      <c r="A51" s="8" t="s">
        <v>301</v>
      </c>
      <c r="B51" s="7"/>
      <c r="C51" s="7"/>
      <c r="D51" s="7"/>
      <c r="E51" s="7"/>
      <c r="F51" s="7"/>
      <c r="G51" s="7"/>
      <c r="H51" s="285"/>
      <c r="I51" s="7"/>
    </row>
    <row r="52" spans="1:12" s="147" customFormat="1" x14ac:dyDescent="0.2">
      <c r="A52" s="7"/>
      <c r="B52" s="7"/>
      <c r="C52" s="7"/>
      <c r="D52" s="7"/>
      <c r="E52" s="7"/>
      <c r="F52" s="7"/>
      <c r="G52" s="7"/>
      <c r="H52" s="285"/>
      <c r="I52" s="7"/>
    </row>
  </sheetData>
  <sheetProtection formatCells="0" formatColumns="0" formatRows="0" insertColumns="0" insertRows="0" insertHyperlinks="0" deleteColumns="0" deleteRows="0" sort="0" autoFilter="0" pivotTables="0"/>
  <mergeCells count="1"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48"/>
  <sheetViews>
    <sheetView tabSelected="1" zoomScale="85" zoomScaleNormal="85" workbookViewId="0">
      <pane xSplit="1" topLeftCell="J1" activePane="topRight" state="frozen"/>
      <selection pane="topRight" activeCell="K4" sqref="K4"/>
    </sheetView>
  </sheetViews>
  <sheetFormatPr defaultRowHeight="12.75" x14ac:dyDescent="0.2"/>
  <cols>
    <col min="1" max="1" width="62.28515625" style="18" customWidth="1"/>
    <col min="2" max="4" width="10" style="7" bestFit="1" customWidth="1"/>
    <col min="5" max="6" width="9.85546875" style="7" bestFit="1" customWidth="1"/>
    <col min="7" max="7" width="9.85546875" style="9" bestFit="1" customWidth="1"/>
    <col min="8" max="8" width="9.85546875" style="8" customWidth="1"/>
    <col min="9" max="9" width="11.140625" style="8" customWidth="1"/>
    <col min="10" max="10" width="10.85546875" style="8" bestFit="1" customWidth="1"/>
    <col min="11" max="12" width="10.85546875" style="9" bestFit="1" customWidth="1"/>
    <col min="13" max="16384" width="9.140625" style="8"/>
  </cols>
  <sheetData>
    <row r="1" spans="1:12" s="73" customFormat="1" x14ac:dyDescent="0.2">
      <c r="A1" s="538" t="s">
        <v>150</v>
      </c>
      <c r="B1" s="538"/>
      <c r="C1" s="538"/>
      <c r="D1" s="538"/>
      <c r="E1" s="538"/>
      <c r="F1" s="538"/>
      <c r="G1" s="278"/>
      <c r="K1" s="278"/>
      <c r="L1" s="278"/>
    </row>
    <row r="2" spans="1:12" s="74" customFormat="1" ht="13.5" thickBot="1" x14ac:dyDescent="0.25">
      <c r="A2" s="78"/>
      <c r="B2" s="174">
        <v>2006</v>
      </c>
      <c r="C2" s="175">
        <v>2007</v>
      </c>
      <c r="D2" s="175">
        <v>2008</v>
      </c>
      <c r="E2" s="175">
        <v>2009</v>
      </c>
      <c r="F2" s="175">
        <v>2010</v>
      </c>
      <c r="G2" s="173">
        <v>2011</v>
      </c>
      <c r="H2" s="173">
        <v>2012</v>
      </c>
      <c r="I2" s="173">
        <v>2013</v>
      </c>
      <c r="J2" s="173">
        <v>2014</v>
      </c>
      <c r="K2" s="173">
        <v>2015</v>
      </c>
      <c r="L2" s="230">
        <v>2016</v>
      </c>
    </row>
    <row r="3" spans="1:12" s="3" customFormat="1" x14ac:dyDescent="0.2">
      <c r="A3" s="79" t="s">
        <v>1</v>
      </c>
      <c r="B3" s="80"/>
      <c r="C3" s="2"/>
      <c r="D3" s="2"/>
      <c r="E3" s="2"/>
      <c r="F3" s="2"/>
      <c r="G3" s="11"/>
      <c r="H3" s="11"/>
      <c r="I3" s="11"/>
      <c r="J3" s="11"/>
      <c r="K3" s="415"/>
      <c r="L3" s="416"/>
    </row>
    <row r="4" spans="1:12" s="5" customFormat="1" x14ac:dyDescent="0.2">
      <c r="A4" s="81" t="s">
        <v>2</v>
      </c>
      <c r="B4" s="152"/>
      <c r="C4" s="4"/>
      <c r="D4" s="4"/>
      <c r="E4" s="4"/>
      <c r="F4" s="4"/>
      <c r="G4" s="7"/>
      <c r="H4" s="7"/>
      <c r="I4" s="7"/>
      <c r="J4" s="7"/>
      <c r="K4" s="303"/>
      <c r="L4" s="247"/>
    </row>
    <row r="5" spans="1:12" s="5" customFormat="1" x14ac:dyDescent="0.2">
      <c r="A5" s="82" t="s">
        <v>3</v>
      </c>
      <c r="B5" s="83"/>
      <c r="C5" s="14">
        <v>182065</v>
      </c>
      <c r="D5" s="14">
        <v>570154</v>
      </c>
      <c r="E5" s="14">
        <v>696275</v>
      </c>
      <c r="F5" s="14">
        <v>601184</v>
      </c>
      <c r="G5" s="4">
        <v>714589</v>
      </c>
      <c r="H5" s="14">
        <v>799687</v>
      </c>
      <c r="I5" s="14">
        <v>765277</v>
      </c>
      <c r="J5" s="14">
        <v>759807</v>
      </c>
      <c r="K5" s="14" t="s">
        <v>293</v>
      </c>
      <c r="L5" s="390">
        <v>797057</v>
      </c>
    </row>
    <row r="6" spans="1:12" s="5" customFormat="1" x14ac:dyDescent="0.2">
      <c r="A6" s="82" t="s">
        <v>4</v>
      </c>
      <c r="B6" s="83">
        <v>14520859</v>
      </c>
      <c r="C6" s="14">
        <v>23252435</v>
      </c>
      <c r="D6" s="14">
        <v>66235792</v>
      </c>
      <c r="E6" s="14">
        <v>73332231</v>
      </c>
      <c r="F6" s="14">
        <v>83621575</v>
      </c>
      <c r="G6" s="4">
        <v>82518717</v>
      </c>
      <c r="H6" s="14">
        <v>86414872</v>
      </c>
      <c r="I6" s="14">
        <v>100549051</v>
      </c>
      <c r="J6" s="14">
        <v>113508167</v>
      </c>
      <c r="K6" s="14">
        <v>190656164</v>
      </c>
      <c r="L6" s="390">
        <v>206789180</v>
      </c>
    </row>
    <row r="7" spans="1:12" s="5" customFormat="1" x14ac:dyDescent="0.2">
      <c r="A7" s="82" t="s">
        <v>246</v>
      </c>
      <c r="B7" s="83">
        <v>2259333</v>
      </c>
      <c r="C7" s="14">
        <v>3915529</v>
      </c>
      <c r="D7" s="14">
        <v>5025306</v>
      </c>
      <c r="E7" s="14">
        <v>4135536</v>
      </c>
      <c r="F7" s="14">
        <v>2317079</v>
      </c>
      <c r="G7" s="4">
        <v>854343</v>
      </c>
      <c r="H7" s="14">
        <v>508158</v>
      </c>
      <c r="I7" s="14">
        <v>330483</v>
      </c>
      <c r="J7" s="14">
        <v>1008111</v>
      </c>
      <c r="K7" s="14">
        <v>70415</v>
      </c>
      <c r="L7" s="390">
        <v>1550717</v>
      </c>
    </row>
    <row r="8" spans="1:12" s="5" customFormat="1" x14ac:dyDescent="0.2">
      <c r="A8" s="82" t="s">
        <v>247</v>
      </c>
      <c r="B8" s="83"/>
      <c r="C8" s="14"/>
      <c r="D8" s="14"/>
      <c r="E8" s="14"/>
      <c r="F8" s="14"/>
      <c r="G8" s="4"/>
      <c r="H8" s="14"/>
      <c r="I8" s="14"/>
      <c r="J8" s="14">
        <v>1703717</v>
      </c>
      <c r="K8" s="14">
        <v>1889826</v>
      </c>
      <c r="L8" s="390">
        <v>2039880</v>
      </c>
    </row>
    <row r="9" spans="1:12" s="5" customFormat="1" x14ac:dyDescent="0.2">
      <c r="A9" s="82" t="s">
        <v>5</v>
      </c>
      <c r="B9" s="83">
        <v>384494</v>
      </c>
      <c r="C9" s="14">
        <v>713200</v>
      </c>
      <c r="D9" s="14">
        <v>304533</v>
      </c>
      <c r="E9" s="14">
        <v>525913</v>
      </c>
      <c r="F9" s="14">
        <v>30000</v>
      </c>
      <c r="G9" s="4">
        <v>26700</v>
      </c>
      <c r="H9" s="14">
        <v>100</v>
      </c>
      <c r="I9" s="14">
        <v>100</v>
      </c>
      <c r="J9" s="14">
        <v>3600</v>
      </c>
      <c r="K9" s="14">
        <v>875257</v>
      </c>
      <c r="L9" s="390">
        <v>913542</v>
      </c>
    </row>
    <row r="10" spans="1:12" s="5" customFormat="1" x14ac:dyDescent="0.2">
      <c r="A10" s="82" t="s">
        <v>6</v>
      </c>
      <c r="B10" s="83">
        <v>387838</v>
      </c>
      <c r="C10" s="14">
        <v>576151</v>
      </c>
      <c r="D10" s="14">
        <v>887426</v>
      </c>
      <c r="E10" s="14">
        <v>272310</v>
      </c>
      <c r="F10" s="14">
        <v>440430</v>
      </c>
      <c r="G10" s="4">
        <v>843179</v>
      </c>
      <c r="H10" s="14">
        <v>434067</v>
      </c>
      <c r="I10" s="14">
        <v>594330</v>
      </c>
      <c r="J10" s="14">
        <v>986795</v>
      </c>
      <c r="K10" s="14">
        <v>1205186</v>
      </c>
      <c r="L10" s="390">
        <v>1837142</v>
      </c>
    </row>
    <row r="11" spans="1:12" s="1" customFormat="1" ht="13.5" thickBot="1" x14ac:dyDescent="0.25">
      <c r="A11" s="84" t="s">
        <v>7</v>
      </c>
      <c r="B11" s="159">
        <f t="shared" ref="B11:J11" si="0">SUM(B5:B10)</f>
        <v>17552524</v>
      </c>
      <c r="C11" s="159">
        <f t="shared" si="0"/>
        <v>28639380</v>
      </c>
      <c r="D11" s="159">
        <f t="shared" si="0"/>
        <v>73023211</v>
      </c>
      <c r="E11" s="159">
        <f t="shared" si="0"/>
        <v>78962265</v>
      </c>
      <c r="F11" s="159">
        <f t="shared" si="0"/>
        <v>87010268</v>
      </c>
      <c r="G11" s="159">
        <f t="shared" si="0"/>
        <v>84957528</v>
      </c>
      <c r="H11" s="159">
        <f t="shared" si="0"/>
        <v>88156884</v>
      </c>
      <c r="I11" s="159">
        <f t="shared" si="0"/>
        <v>102239241</v>
      </c>
      <c r="J11" s="159">
        <f t="shared" si="0"/>
        <v>117970197</v>
      </c>
      <c r="K11" s="159">
        <v>197892022</v>
      </c>
      <c r="L11" s="232">
        <f>SUM(L5:L10)</f>
        <v>213927518</v>
      </c>
    </row>
    <row r="12" spans="1:12" s="3" customFormat="1" x14ac:dyDescent="0.2">
      <c r="A12" s="79" t="s">
        <v>8</v>
      </c>
      <c r="B12" s="85"/>
      <c r="C12" s="15"/>
      <c r="D12" s="15"/>
      <c r="E12" s="15"/>
      <c r="F12" s="15"/>
      <c r="G12" s="11"/>
      <c r="H12" s="11"/>
      <c r="I12" s="11"/>
      <c r="J12" s="11"/>
      <c r="K12" s="415"/>
      <c r="L12" s="416"/>
    </row>
    <row r="13" spans="1:12" s="5" customFormat="1" x14ac:dyDescent="0.2">
      <c r="A13" s="82" t="s">
        <v>9</v>
      </c>
      <c r="B13" s="83">
        <v>1082229</v>
      </c>
      <c r="C13" s="14">
        <v>5903078</v>
      </c>
      <c r="D13" s="14">
        <v>2498850</v>
      </c>
      <c r="E13" s="14">
        <v>2948801</v>
      </c>
      <c r="F13" s="14">
        <v>653068</v>
      </c>
      <c r="G13" s="4">
        <v>7108538</v>
      </c>
      <c r="H13" s="14">
        <v>3513622</v>
      </c>
      <c r="I13" s="14">
        <v>3719455</v>
      </c>
      <c r="J13" s="14">
        <v>1511558</v>
      </c>
      <c r="K13" s="14" t="s">
        <v>269</v>
      </c>
      <c r="L13" s="390">
        <v>10368058</v>
      </c>
    </row>
    <row r="14" spans="1:12" s="5" customFormat="1" ht="14.25" customHeight="1" x14ac:dyDescent="0.2">
      <c r="A14" s="82" t="s">
        <v>248</v>
      </c>
      <c r="B14" s="83"/>
      <c r="C14" s="83"/>
      <c r="D14" s="83"/>
      <c r="E14" s="83"/>
      <c r="F14" s="83"/>
      <c r="G14" s="325" t="s">
        <v>39</v>
      </c>
      <c r="H14" s="14">
        <v>2266000</v>
      </c>
      <c r="I14" s="14">
        <v>6364263</v>
      </c>
      <c r="J14" s="14">
        <v>4094905</v>
      </c>
      <c r="K14" s="14" t="s">
        <v>294</v>
      </c>
      <c r="L14" s="390">
        <v>68767</v>
      </c>
    </row>
    <row r="15" spans="1:12" s="5" customFormat="1" x14ac:dyDescent="0.2">
      <c r="A15" s="82" t="s">
        <v>10</v>
      </c>
      <c r="B15" s="83">
        <v>1045745</v>
      </c>
      <c r="C15" s="14">
        <v>1017493</v>
      </c>
      <c r="D15" s="14">
        <v>1209336</v>
      </c>
      <c r="E15" s="14">
        <v>1332425</v>
      </c>
      <c r="F15" s="14">
        <v>1493998</v>
      </c>
      <c r="G15" s="4">
        <v>991044</v>
      </c>
      <c r="H15" s="14">
        <v>2077119</v>
      </c>
      <c r="I15" s="14">
        <v>5050638</v>
      </c>
      <c r="J15" s="14">
        <v>6714739</v>
      </c>
      <c r="K15" s="14" t="s">
        <v>295</v>
      </c>
      <c r="L15" s="390">
        <v>4542613</v>
      </c>
    </row>
    <row r="16" spans="1:12" s="5" customFormat="1" x14ac:dyDescent="0.2">
      <c r="A16" s="82" t="s">
        <v>11</v>
      </c>
      <c r="B16" s="83">
        <v>225552</v>
      </c>
      <c r="C16" s="14">
        <v>217923</v>
      </c>
      <c r="D16" s="14">
        <v>235484</v>
      </c>
      <c r="E16" s="14">
        <v>361166</v>
      </c>
      <c r="F16" s="14">
        <v>452779</v>
      </c>
      <c r="G16" s="4">
        <v>289605</v>
      </c>
      <c r="H16" s="14">
        <v>279184</v>
      </c>
      <c r="I16" s="14">
        <v>419223</v>
      </c>
      <c r="J16" s="14">
        <v>636521</v>
      </c>
      <c r="K16" s="14">
        <v>1265433</v>
      </c>
      <c r="L16" s="390">
        <v>1233119</v>
      </c>
    </row>
    <row r="17" spans="1:12" s="5" customFormat="1" ht="15" customHeight="1" x14ac:dyDescent="0.2">
      <c r="A17" s="82" t="s">
        <v>213</v>
      </c>
      <c r="B17" s="83"/>
      <c r="C17" s="83"/>
      <c r="D17" s="83"/>
      <c r="E17" s="83"/>
      <c r="F17" s="83">
        <v>15539</v>
      </c>
      <c r="G17" s="4">
        <v>100458</v>
      </c>
      <c r="H17" s="325" t="s">
        <v>39</v>
      </c>
      <c r="I17" s="14">
        <v>3711</v>
      </c>
      <c r="J17" s="14">
        <v>203586</v>
      </c>
      <c r="K17" s="14">
        <v>113983</v>
      </c>
      <c r="L17" s="390">
        <v>466870</v>
      </c>
    </row>
    <row r="18" spans="1:12" s="5" customFormat="1" x14ac:dyDescent="0.2">
      <c r="A18" s="82" t="s">
        <v>12</v>
      </c>
      <c r="B18" s="83">
        <v>1036258</v>
      </c>
      <c r="C18" s="14">
        <v>2823840</v>
      </c>
      <c r="D18" s="14">
        <v>6387647</v>
      </c>
      <c r="E18" s="14">
        <v>4720628</v>
      </c>
      <c r="F18" s="14">
        <v>3756692</v>
      </c>
      <c r="G18" s="4">
        <v>3503848</v>
      </c>
      <c r="H18" s="14">
        <v>3099798</v>
      </c>
      <c r="I18" s="14">
        <v>3048067</v>
      </c>
      <c r="J18" s="14">
        <v>4037314</v>
      </c>
      <c r="K18" s="14" t="s">
        <v>296</v>
      </c>
      <c r="L18" s="390">
        <v>4565930</v>
      </c>
    </row>
    <row r="19" spans="1:12" s="1" customFormat="1" ht="13.5" thickBot="1" x14ac:dyDescent="0.25">
      <c r="A19" s="84" t="s">
        <v>13</v>
      </c>
      <c r="B19" s="159">
        <f t="shared" ref="B19:H19" si="1">SUM(B13:B18)</f>
        <v>3389784</v>
      </c>
      <c r="C19" s="159">
        <f t="shared" si="1"/>
        <v>9962334</v>
      </c>
      <c r="D19" s="159">
        <f t="shared" si="1"/>
        <v>10331317</v>
      </c>
      <c r="E19" s="159">
        <f t="shared" si="1"/>
        <v>9363020</v>
      </c>
      <c r="F19" s="159">
        <f t="shared" si="1"/>
        <v>6372076</v>
      </c>
      <c r="G19" s="159">
        <f t="shared" si="1"/>
        <v>11993493</v>
      </c>
      <c r="H19" s="159">
        <f t="shared" si="1"/>
        <v>11235723</v>
      </c>
      <c r="I19" s="159">
        <f t="shared" ref="I19" si="2">SUM(I13:I18)</f>
        <v>18605357</v>
      </c>
      <c r="J19" s="159">
        <f>SUM(J13:J18)</f>
        <v>17198623</v>
      </c>
      <c r="K19" s="159">
        <v>41949364</v>
      </c>
      <c r="L19" s="232">
        <f>SUM(L13:L18)</f>
        <v>21245357</v>
      </c>
    </row>
    <row r="20" spans="1:12" s="6" customFormat="1" ht="13.5" thickBot="1" x14ac:dyDescent="0.25">
      <c r="A20" s="86" t="s">
        <v>14</v>
      </c>
      <c r="B20" s="164">
        <f t="shared" ref="B20:H20" si="3">B11+B19</f>
        <v>20942308</v>
      </c>
      <c r="C20" s="164">
        <f t="shared" si="3"/>
        <v>38601714</v>
      </c>
      <c r="D20" s="164">
        <f t="shared" si="3"/>
        <v>83354528</v>
      </c>
      <c r="E20" s="164">
        <f t="shared" si="3"/>
        <v>88325285</v>
      </c>
      <c r="F20" s="164">
        <f t="shared" si="3"/>
        <v>93382344</v>
      </c>
      <c r="G20" s="164">
        <f t="shared" si="3"/>
        <v>96951021</v>
      </c>
      <c r="H20" s="164">
        <f t="shared" si="3"/>
        <v>99392607</v>
      </c>
      <c r="I20" s="164">
        <f t="shared" ref="I20" si="4">I11+I19</f>
        <v>120844598</v>
      </c>
      <c r="J20" s="164">
        <f>SUM(J11+J19)</f>
        <v>135168820</v>
      </c>
      <c r="K20" s="164">
        <f>K19+K11</f>
        <v>239841386</v>
      </c>
      <c r="L20" s="236">
        <f>L19+L11</f>
        <v>235172875</v>
      </c>
    </row>
    <row r="21" spans="1:12" s="5" customFormat="1" x14ac:dyDescent="0.2">
      <c r="A21" s="81" t="s">
        <v>15</v>
      </c>
      <c r="B21" s="537"/>
      <c r="C21" s="537"/>
      <c r="D21" s="14"/>
      <c r="E21" s="14"/>
      <c r="F21" s="14"/>
      <c r="G21" s="7"/>
      <c r="H21" s="7"/>
      <c r="I21" s="7"/>
      <c r="J21" s="7"/>
      <c r="K21" s="303"/>
      <c r="L21" s="247"/>
    </row>
    <row r="22" spans="1:12" s="5" customFormat="1" x14ac:dyDescent="0.2">
      <c r="A22" s="81" t="s">
        <v>47</v>
      </c>
      <c r="B22" s="152"/>
      <c r="C22" s="14"/>
      <c r="D22" s="14"/>
      <c r="E22" s="14"/>
      <c r="F22" s="14"/>
      <c r="G22" s="7"/>
      <c r="H22" s="7"/>
      <c r="I22" s="7"/>
      <c r="J22" s="7"/>
      <c r="K22" s="303"/>
      <c r="L22" s="247"/>
    </row>
    <row r="23" spans="1:12" s="5" customFormat="1" x14ac:dyDescent="0.2">
      <c r="A23" s="82" t="s">
        <v>16</v>
      </c>
      <c r="B23" s="83">
        <v>4631947</v>
      </c>
      <c r="C23" s="14">
        <v>4631947</v>
      </c>
      <c r="D23" s="14">
        <v>4866115</v>
      </c>
      <c r="E23" s="14">
        <v>4866115</v>
      </c>
      <c r="F23" s="14">
        <v>4866115</v>
      </c>
      <c r="G23" s="4">
        <v>4866115</v>
      </c>
      <c r="H23" s="4">
        <v>5075155</v>
      </c>
      <c r="I23" s="4">
        <v>5075155</v>
      </c>
      <c r="J23" s="4">
        <v>5598908</v>
      </c>
      <c r="K23" s="14">
        <v>12439792</v>
      </c>
      <c r="L23" s="390">
        <v>12463879</v>
      </c>
    </row>
    <row r="24" spans="1:12" s="5" customFormat="1" x14ac:dyDescent="0.2">
      <c r="A24" s="82" t="s">
        <v>17</v>
      </c>
      <c r="B24" s="83">
        <v>625603</v>
      </c>
      <c r="C24" s="14">
        <v>625603</v>
      </c>
      <c r="D24" s="14">
        <v>625603</v>
      </c>
      <c r="E24" s="14">
        <v>625603</v>
      </c>
      <c r="F24" s="14">
        <v>625603</v>
      </c>
      <c r="G24" s="4">
        <v>625603</v>
      </c>
      <c r="H24" s="4">
        <v>625603</v>
      </c>
      <c r="I24" s="4">
        <v>625603</v>
      </c>
      <c r="J24" s="4">
        <v>625603</v>
      </c>
      <c r="K24" s="14">
        <v>625603</v>
      </c>
      <c r="L24" s="390">
        <v>625603</v>
      </c>
    </row>
    <row r="25" spans="1:12" s="5" customFormat="1" x14ac:dyDescent="0.2">
      <c r="A25" s="82" t="s">
        <v>18</v>
      </c>
      <c r="B25" s="83">
        <v>0</v>
      </c>
      <c r="C25" s="14">
        <v>0</v>
      </c>
      <c r="D25" s="14">
        <v>5548880</v>
      </c>
      <c r="E25" s="14">
        <v>5548880</v>
      </c>
      <c r="F25" s="14">
        <v>5548880</v>
      </c>
      <c r="G25" s="4">
        <v>5548880</v>
      </c>
      <c r="H25" s="4">
        <v>8303849</v>
      </c>
      <c r="I25" s="4">
        <v>8303849</v>
      </c>
      <c r="J25" s="4">
        <v>10954042</v>
      </c>
      <c r="K25" s="14">
        <v>51930937</v>
      </c>
      <c r="L25" s="390">
        <v>52075215</v>
      </c>
    </row>
    <row r="26" spans="1:12" s="5" customFormat="1" x14ac:dyDescent="0.2">
      <c r="A26" s="82" t="s">
        <v>220</v>
      </c>
      <c r="B26" s="83"/>
      <c r="C26" s="14"/>
      <c r="D26" s="14"/>
      <c r="E26" s="14"/>
      <c r="F26" s="14"/>
      <c r="G26" s="325" t="s">
        <v>39</v>
      </c>
      <c r="H26" s="325" t="s">
        <v>39</v>
      </c>
      <c r="I26" s="4">
        <v>3000000</v>
      </c>
      <c r="J26" s="4" t="s">
        <v>39</v>
      </c>
      <c r="K26" s="303" t="s">
        <v>39</v>
      </c>
      <c r="L26" s="247" t="s">
        <v>39</v>
      </c>
    </row>
    <row r="27" spans="1:12" s="5" customFormat="1" x14ac:dyDescent="0.2">
      <c r="A27" s="82" t="s">
        <v>19</v>
      </c>
      <c r="B27" s="83">
        <v>1885820</v>
      </c>
      <c r="C27" s="14">
        <v>5187035</v>
      </c>
      <c r="D27" s="14">
        <v>28857780</v>
      </c>
      <c r="E27" s="14">
        <v>29003426</v>
      </c>
      <c r="F27" s="14">
        <v>28659394</v>
      </c>
      <c r="G27" s="4">
        <v>22347822</v>
      </c>
      <c r="H27" s="4">
        <v>20167762</v>
      </c>
      <c r="I27" s="4">
        <v>20096491</v>
      </c>
      <c r="J27" s="4">
        <v>17943365</v>
      </c>
      <c r="K27" s="14">
        <v>66616419</v>
      </c>
      <c r="L27" s="390">
        <v>66266010</v>
      </c>
    </row>
    <row r="28" spans="1:12" s="5" customFormat="1" x14ac:dyDescent="0.2">
      <c r="A28" s="250" t="s">
        <v>186</v>
      </c>
      <c r="B28" s="83">
        <v>3369278</v>
      </c>
      <c r="C28" s="14">
        <v>1560702</v>
      </c>
      <c r="D28" s="14">
        <v>3302755</v>
      </c>
      <c r="E28" s="14">
        <v>5769857</v>
      </c>
      <c r="F28" s="14">
        <v>10237449</v>
      </c>
      <c r="G28" s="4">
        <v>9084094</v>
      </c>
      <c r="H28" s="4">
        <v>9285988</v>
      </c>
      <c r="I28" s="4">
        <v>12327214</v>
      </c>
      <c r="J28" s="4">
        <v>8267056</v>
      </c>
      <c r="K28" s="14">
        <v>8647020</v>
      </c>
      <c r="L28" s="390">
        <v>16673778</v>
      </c>
    </row>
    <row r="29" spans="1:12" s="5" customFormat="1" x14ac:dyDescent="0.2">
      <c r="A29" s="82" t="s">
        <v>187</v>
      </c>
      <c r="B29" s="83">
        <v>0</v>
      </c>
      <c r="C29" s="14">
        <v>0</v>
      </c>
      <c r="D29" s="14">
        <v>39430</v>
      </c>
      <c r="E29" s="14">
        <v>19812</v>
      </c>
      <c r="F29" s="14">
        <v>23542</v>
      </c>
      <c r="G29" s="4">
        <v>30777</v>
      </c>
      <c r="H29" s="4">
        <v>28994</v>
      </c>
      <c r="I29" s="4">
        <v>36666</v>
      </c>
      <c r="J29" s="4">
        <v>48254</v>
      </c>
      <c r="K29" s="14">
        <v>190193</v>
      </c>
      <c r="L29" s="390">
        <v>236369</v>
      </c>
    </row>
    <row r="30" spans="1:12" s="1" customFormat="1" ht="13.5" thickBot="1" x14ac:dyDescent="0.25">
      <c r="A30" s="84" t="s">
        <v>20</v>
      </c>
      <c r="B30" s="159">
        <f t="shared" ref="B30:I30" si="5">SUM(B23:B29)</f>
        <v>10512648</v>
      </c>
      <c r="C30" s="159">
        <f t="shared" si="5"/>
        <v>12005287</v>
      </c>
      <c r="D30" s="159">
        <f t="shared" si="5"/>
        <v>43240563</v>
      </c>
      <c r="E30" s="159">
        <f t="shared" si="5"/>
        <v>45833693</v>
      </c>
      <c r="F30" s="159">
        <f t="shared" si="5"/>
        <v>49960983</v>
      </c>
      <c r="G30" s="159">
        <f t="shared" si="5"/>
        <v>42503291</v>
      </c>
      <c r="H30" s="159">
        <f t="shared" si="5"/>
        <v>43487351</v>
      </c>
      <c r="I30" s="159">
        <f t="shared" si="5"/>
        <v>49464978</v>
      </c>
      <c r="J30" s="159">
        <f>SUM(J23:J29)</f>
        <v>43437228</v>
      </c>
      <c r="K30" s="159">
        <f>SUM(K23:K29)</f>
        <v>140449964</v>
      </c>
      <c r="L30" s="232">
        <f>SUM(L23:L29)</f>
        <v>148340854</v>
      </c>
    </row>
    <row r="31" spans="1:12" s="3" customFormat="1" x14ac:dyDescent="0.2">
      <c r="A31" s="79" t="s">
        <v>21</v>
      </c>
      <c r="B31" s="85"/>
      <c r="C31" s="15"/>
      <c r="D31" s="15"/>
      <c r="E31" s="15"/>
      <c r="F31" s="15"/>
      <c r="G31" s="11"/>
      <c r="H31" s="11"/>
      <c r="I31" s="11"/>
      <c r="J31" s="11"/>
      <c r="K31" s="415"/>
      <c r="L31" s="416"/>
    </row>
    <row r="32" spans="1:12" s="5" customFormat="1" x14ac:dyDescent="0.2">
      <c r="A32" s="82" t="s">
        <v>249</v>
      </c>
      <c r="B32" s="83">
        <v>50784</v>
      </c>
      <c r="C32" s="14">
        <v>11555864</v>
      </c>
      <c r="D32" s="14">
        <v>12946293</v>
      </c>
      <c r="E32" s="14">
        <v>10073664</v>
      </c>
      <c r="F32" s="14">
        <v>14124851</v>
      </c>
      <c r="G32" s="4">
        <v>21028081</v>
      </c>
      <c r="H32" s="4">
        <v>20637699</v>
      </c>
      <c r="I32" s="4">
        <v>29401987</v>
      </c>
      <c r="J32" s="4">
        <v>48180390</v>
      </c>
      <c r="K32" s="14">
        <v>27617891</v>
      </c>
      <c r="L32" s="390">
        <v>23450208</v>
      </c>
    </row>
    <row r="33" spans="1:12" s="5" customFormat="1" x14ac:dyDescent="0.2">
      <c r="A33" s="82" t="s">
        <v>22</v>
      </c>
      <c r="B33" s="83">
        <v>125497</v>
      </c>
      <c r="C33" s="14">
        <v>70488</v>
      </c>
      <c r="D33" s="14">
        <v>5863986</v>
      </c>
      <c r="E33" s="14">
        <v>5283093</v>
      </c>
      <c r="F33" s="14">
        <v>5331912</v>
      </c>
      <c r="G33" s="4">
        <v>3050734</v>
      </c>
      <c r="H33" s="4">
        <v>2356515</v>
      </c>
      <c r="I33" s="4">
        <v>2477749</v>
      </c>
      <c r="J33" s="4">
        <v>1124510</v>
      </c>
      <c r="K33" s="14">
        <v>12960487</v>
      </c>
      <c r="L33" s="390">
        <v>11800079</v>
      </c>
    </row>
    <row r="34" spans="1:12" s="5" customFormat="1" x14ac:dyDescent="0.2">
      <c r="A34" s="82" t="s">
        <v>23</v>
      </c>
      <c r="B34" s="83">
        <v>244564</v>
      </c>
      <c r="C34" s="14">
        <v>277413</v>
      </c>
      <c r="D34" s="14">
        <v>308313</v>
      </c>
      <c r="E34" s="14">
        <v>294536</v>
      </c>
      <c r="F34" s="14">
        <v>351312</v>
      </c>
      <c r="G34" s="4">
        <v>449850</v>
      </c>
      <c r="H34" s="4">
        <v>557367</v>
      </c>
      <c r="I34" s="4">
        <v>697402</v>
      </c>
      <c r="J34" s="4">
        <v>541652</v>
      </c>
      <c r="K34" s="14">
        <v>483737</v>
      </c>
      <c r="L34" s="390">
        <v>453921</v>
      </c>
    </row>
    <row r="35" spans="1:12" s="5" customFormat="1" x14ac:dyDescent="0.2">
      <c r="A35" s="82" t="s">
        <v>24</v>
      </c>
      <c r="B35" s="83">
        <v>2165056</v>
      </c>
      <c r="C35" s="14">
        <v>3699967</v>
      </c>
      <c r="D35" s="14">
        <v>5377237</v>
      </c>
      <c r="E35" s="14">
        <v>1274873</v>
      </c>
      <c r="F35" s="14">
        <v>2115966</v>
      </c>
      <c r="G35" s="4">
        <v>4884306</v>
      </c>
      <c r="H35" s="4">
        <v>1786304</v>
      </c>
      <c r="I35" s="4">
        <v>2123163</v>
      </c>
      <c r="J35" s="4">
        <v>3614125</v>
      </c>
      <c r="K35" s="14">
        <v>5773053</v>
      </c>
      <c r="L35" s="390">
        <v>7584519</v>
      </c>
    </row>
    <row r="36" spans="1:12" s="1" customFormat="1" ht="13.5" thickBot="1" x14ac:dyDescent="0.25">
      <c r="A36" s="84" t="s">
        <v>25</v>
      </c>
      <c r="B36" s="159">
        <f t="shared" ref="B36:H36" si="6">SUM(B32:B35)</f>
        <v>2585901</v>
      </c>
      <c r="C36" s="159">
        <f t="shared" si="6"/>
        <v>15603732</v>
      </c>
      <c r="D36" s="159">
        <f t="shared" si="6"/>
        <v>24495829</v>
      </c>
      <c r="E36" s="159">
        <f t="shared" si="6"/>
        <v>16926166</v>
      </c>
      <c r="F36" s="159">
        <f t="shared" si="6"/>
        <v>21924041</v>
      </c>
      <c r="G36" s="159">
        <f t="shared" si="6"/>
        <v>29412971</v>
      </c>
      <c r="H36" s="159">
        <f t="shared" si="6"/>
        <v>25337885</v>
      </c>
      <c r="I36" s="159">
        <f t="shared" ref="I36" si="7">SUM(I32:I35)</f>
        <v>34700301</v>
      </c>
      <c r="J36" s="159">
        <f>SUM(J32:J35)</f>
        <v>53460677</v>
      </c>
      <c r="K36" s="159">
        <f>SUM(K32:K35)</f>
        <v>46835168</v>
      </c>
      <c r="L36" s="232">
        <f>SUM(L32:L35)</f>
        <v>43288727</v>
      </c>
    </row>
    <row r="37" spans="1:12" s="3" customFormat="1" x14ac:dyDescent="0.2">
      <c r="A37" s="79" t="s">
        <v>26</v>
      </c>
      <c r="B37" s="85"/>
      <c r="C37" s="15"/>
      <c r="D37" s="15"/>
      <c r="E37" s="15"/>
      <c r="F37" s="15"/>
      <c r="G37" s="11"/>
      <c r="H37" s="11"/>
      <c r="I37" s="11"/>
      <c r="J37" s="11"/>
      <c r="K37" s="415"/>
      <c r="L37" s="416"/>
    </row>
    <row r="38" spans="1:12" s="5" customFormat="1" x14ac:dyDescent="0.2">
      <c r="A38" s="82" t="s">
        <v>27</v>
      </c>
      <c r="B38" s="83">
        <v>4523310</v>
      </c>
      <c r="C38" s="14">
        <v>277007</v>
      </c>
      <c r="D38" s="14">
        <v>436143</v>
      </c>
      <c r="E38" s="14">
        <v>6610816</v>
      </c>
      <c r="F38" s="14">
        <v>1566041</v>
      </c>
      <c r="G38" s="4">
        <v>6549305</v>
      </c>
      <c r="H38" s="4">
        <v>7153301</v>
      </c>
      <c r="I38" s="4">
        <v>3981776</v>
      </c>
      <c r="J38" s="4">
        <v>1589261</v>
      </c>
      <c r="K38" s="14">
        <v>13356748</v>
      </c>
      <c r="L38" s="390">
        <v>11077971</v>
      </c>
    </row>
    <row r="39" spans="1:12" s="5" customFormat="1" ht="13.5" customHeight="1" x14ac:dyDescent="0.2">
      <c r="A39" s="82" t="s">
        <v>250</v>
      </c>
      <c r="B39" s="83">
        <v>1418657</v>
      </c>
      <c r="C39" s="14">
        <v>3034888</v>
      </c>
      <c r="D39" s="14">
        <v>4598901</v>
      </c>
      <c r="E39" s="14">
        <v>3978577</v>
      </c>
      <c r="F39" s="14">
        <v>4216838</v>
      </c>
      <c r="G39" s="4">
        <v>6752989</v>
      </c>
      <c r="H39" s="4">
        <v>8287500</v>
      </c>
      <c r="I39" s="4">
        <v>15322000</v>
      </c>
      <c r="J39" s="4">
        <v>20918961</v>
      </c>
      <c r="K39" s="14">
        <v>20605040</v>
      </c>
      <c r="L39" s="390">
        <v>17615796</v>
      </c>
    </row>
    <row r="40" spans="1:12" s="5" customFormat="1" ht="12.75" customHeight="1" x14ac:dyDescent="0.2">
      <c r="A40" s="82" t="s">
        <v>214</v>
      </c>
      <c r="B40" s="83"/>
      <c r="C40" s="83"/>
      <c r="D40" s="83"/>
      <c r="E40" s="83"/>
      <c r="F40" s="83">
        <v>37196</v>
      </c>
      <c r="G40" s="4">
        <v>463260</v>
      </c>
      <c r="H40" s="4">
        <v>535678</v>
      </c>
      <c r="I40" s="4">
        <v>2727018</v>
      </c>
      <c r="J40" s="4">
        <v>4262043</v>
      </c>
      <c r="K40" s="14">
        <v>2214813</v>
      </c>
      <c r="L40" s="390">
        <v>1107272</v>
      </c>
    </row>
    <row r="41" spans="1:12" s="5" customFormat="1" x14ac:dyDescent="0.2">
      <c r="A41" s="82" t="s">
        <v>28</v>
      </c>
      <c r="B41" s="83">
        <v>231539</v>
      </c>
      <c r="C41" s="14">
        <v>598928</v>
      </c>
      <c r="D41" s="14">
        <v>1118258</v>
      </c>
      <c r="E41" s="14">
        <v>553549</v>
      </c>
      <c r="F41" s="14">
        <v>102134</v>
      </c>
      <c r="G41" s="4">
        <v>8889</v>
      </c>
      <c r="H41" s="4">
        <v>433615</v>
      </c>
      <c r="I41" s="4">
        <v>515605</v>
      </c>
      <c r="J41" s="4">
        <v>13680</v>
      </c>
      <c r="K41" s="14">
        <v>62682</v>
      </c>
      <c r="L41" s="390">
        <v>22554</v>
      </c>
    </row>
    <row r="42" spans="1:12" s="5" customFormat="1" ht="13.5" customHeight="1" x14ac:dyDescent="0.2">
      <c r="A42" s="82" t="s">
        <v>29</v>
      </c>
      <c r="B42" s="83">
        <v>192206</v>
      </c>
      <c r="C42" s="14">
        <v>102600</v>
      </c>
      <c r="D42" s="83"/>
      <c r="E42" s="83"/>
      <c r="F42" s="83"/>
      <c r="G42" s="83"/>
      <c r="H42" s="83"/>
      <c r="I42" s="4"/>
      <c r="J42" s="4"/>
      <c r="K42" s="303"/>
    </row>
    <row r="43" spans="1:12" s="5" customFormat="1" ht="25.5" x14ac:dyDescent="0.2">
      <c r="A43" s="82" t="s">
        <v>221</v>
      </c>
      <c r="B43" s="83">
        <v>1478047</v>
      </c>
      <c r="C43" s="14">
        <v>6979272</v>
      </c>
      <c r="D43" s="14">
        <v>9464834</v>
      </c>
      <c r="E43" s="14">
        <v>14422484</v>
      </c>
      <c r="F43" s="14">
        <v>15575111</v>
      </c>
      <c r="G43" s="4">
        <v>11260316</v>
      </c>
      <c r="H43" s="4">
        <v>14157277</v>
      </c>
      <c r="I43" s="4">
        <v>14132920</v>
      </c>
      <c r="J43" s="4">
        <v>11486970</v>
      </c>
      <c r="K43" s="14">
        <v>16316971</v>
      </c>
      <c r="L43" s="247">
        <v>13719701</v>
      </c>
    </row>
    <row r="44" spans="1:12" s="1" customFormat="1" ht="13.5" thickBot="1" x14ac:dyDescent="0.25">
      <c r="A44" s="84" t="s">
        <v>30</v>
      </c>
      <c r="B44" s="159">
        <f t="shared" ref="B44:F44" si="8">SUM(B38:B43)</f>
        <v>7843759</v>
      </c>
      <c r="C44" s="159">
        <f t="shared" si="8"/>
        <v>10992695</v>
      </c>
      <c r="D44" s="159">
        <f t="shared" si="8"/>
        <v>15618136</v>
      </c>
      <c r="E44" s="159">
        <f t="shared" si="8"/>
        <v>25565426</v>
      </c>
      <c r="F44" s="159">
        <f t="shared" si="8"/>
        <v>21497320</v>
      </c>
      <c r="G44" s="159">
        <f t="shared" ref="G44:L44" si="9">SUM(G38:G43)</f>
        <v>25034759</v>
      </c>
      <c r="H44" s="159">
        <f t="shared" si="9"/>
        <v>30567371</v>
      </c>
      <c r="I44" s="159">
        <f t="shared" si="9"/>
        <v>36679319</v>
      </c>
      <c r="J44" s="159">
        <f t="shared" si="9"/>
        <v>38270915</v>
      </c>
      <c r="K44" s="159">
        <f t="shared" si="9"/>
        <v>52556254</v>
      </c>
      <c r="L44" s="232">
        <f t="shared" si="9"/>
        <v>43543294</v>
      </c>
    </row>
    <row r="45" spans="1:12" s="6" customFormat="1" ht="13.5" thickBot="1" x14ac:dyDescent="0.25">
      <c r="A45" s="86" t="s">
        <v>31</v>
      </c>
      <c r="B45" s="164">
        <f t="shared" ref="B45:H45" si="10">B36+B44</f>
        <v>10429660</v>
      </c>
      <c r="C45" s="164">
        <f t="shared" si="10"/>
        <v>26596427</v>
      </c>
      <c r="D45" s="164">
        <f t="shared" si="10"/>
        <v>40113965</v>
      </c>
      <c r="E45" s="164">
        <f t="shared" si="10"/>
        <v>42491592</v>
      </c>
      <c r="F45" s="164">
        <f t="shared" si="10"/>
        <v>43421361</v>
      </c>
      <c r="G45" s="164">
        <f t="shared" si="10"/>
        <v>54447730</v>
      </c>
      <c r="H45" s="164">
        <f t="shared" si="10"/>
        <v>55905256</v>
      </c>
      <c r="I45" s="164">
        <f t="shared" ref="I45" si="11">I36+I44</f>
        <v>71379620</v>
      </c>
      <c r="J45" s="164">
        <f>SUM(J36+J44)</f>
        <v>91731592</v>
      </c>
      <c r="K45" s="164">
        <f>K44+K36</f>
        <v>99391422</v>
      </c>
      <c r="L45" s="236">
        <f>L44+L36</f>
        <v>86832021</v>
      </c>
    </row>
    <row r="46" spans="1:12" s="6" customFormat="1" ht="13.5" thickBot="1" x14ac:dyDescent="0.25">
      <c r="A46" s="86" t="s">
        <v>32</v>
      </c>
      <c r="B46" s="164">
        <f t="shared" ref="B46:H46" si="12">B30+B45</f>
        <v>20942308</v>
      </c>
      <c r="C46" s="164">
        <f t="shared" si="12"/>
        <v>38601714</v>
      </c>
      <c r="D46" s="164">
        <f t="shared" si="12"/>
        <v>83354528</v>
      </c>
      <c r="E46" s="164">
        <f t="shared" si="12"/>
        <v>88325285</v>
      </c>
      <c r="F46" s="164">
        <f t="shared" si="12"/>
        <v>93382344</v>
      </c>
      <c r="G46" s="164">
        <f t="shared" si="12"/>
        <v>96951021</v>
      </c>
      <c r="H46" s="164">
        <f t="shared" si="12"/>
        <v>99392607</v>
      </c>
      <c r="I46" s="164">
        <f t="shared" ref="I46" si="13">I30+I45</f>
        <v>120844598</v>
      </c>
      <c r="J46" s="164">
        <f>SUM(J45+J30)</f>
        <v>135168820</v>
      </c>
      <c r="K46" s="164">
        <f>K45+K30</f>
        <v>239841386</v>
      </c>
      <c r="L46" s="236">
        <f>L45+L30</f>
        <v>235172875</v>
      </c>
    </row>
    <row r="47" spans="1:12" x14ac:dyDescent="0.2">
      <c r="A47" s="18" t="s">
        <v>222</v>
      </c>
    </row>
    <row r="48" spans="1:12" s="77" customFormat="1" x14ac:dyDescent="0.2">
      <c r="A48" s="87"/>
      <c r="B48" s="88"/>
      <c r="C48" s="88"/>
      <c r="D48" s="88"/>
      <c r="E48" s="88"/>
      <c r="F48" s="88"/>
      <c r="G48" s="279"/>
      <c r="K48" s="279"/>
      <c r="L48" s="279"/>
    </row>
  </sheetData>
  <sheetProtection formatCells="0" formatColumns="0" formatRows="0" insertColumns="0" insertRows="0" insertHyperlinks="0" deleteColumns="0" deleteRows="0" sort="0" autoFilter="0" pivotTables="0"/>
  <mergeCells count="2">
    <mergeCell ref="B21:C21"/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7"/>
  <sheetViews>
    <sheetView zoomScale="70" zoomScaleNormal="70" workbookViewId="0">
      <pane xSplit="1" topLeftCell="B1" activePane="topRight" state="frozen"/>
      <selection pane="topRight" activeCell="B30" sqref="A30:B31"/>
    </sheetView>
  </sheetViews>
  <sheetFormatPr defaultRowHeight="12.75" x14ac:dyDescent="0.2"/>
  <cols>
    <col min="1" max="1" width="31.5703125" style="18" customWidth="1"/>
    <col min="2" max="2" width="11.42578125" style="9" bestFit="1" customWidth="1"/>
    <col min="3" max="7" width="11.5703125" style="9" bestFit="1" customWidth="1"/>
    <col min="8" max="10" width="11.5703125" style="8" bestFit="1" customWidth="1"/>
    <col min="11" max="11" width="11.5703125" style="9" bestFit="1" customWidth="1"/>
    <col min="12" max="12" width="11.5703125" style="8" bestFit="1" customWidth="1"/>
    <col min="13" max="16384" width="9.140625" style="8"/>
  </cols>
  <sheetData>
    <row r="1" spans="1:12" s="61" customFormat="1" x14ac:dyDescent="0.2">
      <c r="A1" s="538" t="s">
        <v>149</v>
      </c>
      <c r="B1" s="538"/>
      <c r="C1" s="538"/>
      <c r="D1" s="538"/>
      <c r="E1" s="538"/>
      <c r="F1" s="538"/>
      <c r="G1" s="143"/>
      <c r="K1" s="143"/>
    </row>
    <row r="2" spans="1:12" s="74" customFormat="1" ht="13.5" thickBot="1" x14ac:dyDescent="0.25">
      <c r="A2" s="89"/>
      <c r="B2" s="75">
        <v>2006</v>
      </c>
      <c r="C2" s="75">
        <v>2007</v>
      </c>
      <c r="D2" s="75">
        <v>2008</v>
      </c>
      <c r="E2" s="75">
        <v>2009</v>
      </c>
      <c r="F2" s="75">
        <v>2010</v>
      </c>
      <c r="G2" s="173">
        <v>2011</v>
      </c>
      <c r="H2" s="173">
        <v>2012</v>
      </c>
      <c r="I2" s="173">
        <v>2013</v>
      </c>
      <c r="J2" s="173">
        <v>2014</v>
      </c>
      <c r="K2" s="173">
        <v>2015</v>
      </c>
      <c r="L2" s="230">
        <v>2016</v>
      </c>
    </row>
    <row r="3" spans="1:12" s="3" customFormat="1" x14ac:dyDescent="0.2">
      <c r="A3" s="90" t="s">
        <v>33</v>
      </c>
      <c r="B3" s="85">
        <v>8354099</v>
      </c>
      <c r="C3" s="85">
        <v>12337880</v>
      </c>
      <c r="D3" s="85">
        <v>17913636</v>
      </c>
      <c r="E3" s="85">
        <v>22800390</v>
      </c>
      <c r="F3" s="85">
        <v>28573575</v>
      </c>
      <c r="G3" s="2">
        <v>32256795</v>
      </c>
      <c r="H3" s="2">
        <v>33134547</v>
      </c>
      <c r="I3" s="2">
        <v>37323292</v>
      </c>
      <c r="J3" s="2">
        <v>41601308</v>
      </c>
      <c r="K3" s="2">
        <v>39026745</v>
      </c>
      <c r="L3" s="326">
        <v>59022324</v>
      </c>
    </row>
    <row r="4" spans="1:12" s="5" customFormat="1" x14ac:dyDescent="0.2">
      <c r="A4" s="91" t="s">
        <v>34</v>
      </c>
      <c r="B4" s="92">
        <v>-9214815</v>
      </c>
      <c r="C4" s="92">
        <v>-10036092</v>
      </c>
      <c r="D4" s="92">
        <v>-14607578</v>
      </c>
      <c r="E4" s="92">
        <v>-18489176</v>
      </c>
      <c r="F4" s="92">
        <v>-21440791</v>
      </c>
      <c r="G4" s="92">
        <v>-31503143</v>
      </c>
      <c r="H4" s="92">
        <v>-30652922</v>
      </c>
      <c r="I4" s="92">
        <v>-31007625</v>
      </c>
      <c r="J4" s="92">
        <v>-35515907</v>
      </c>
      <c r="K4" s="92">
        <v>-33101948</v>
      </c>
      <c r="L4" s="251">
        <v>-48623225</v>
      </c>
    </row>
    <row r="5" spans="1:12" s="1" customFormat="1" ht="13.5" thickBot="1" x14ac:dyDescent="0.25">
      <c r="A5" s="93" t="s">
        <v>35</v>
      </c>
      <c r="B5" s="162">
        <f t="shared" ref="B5:F5" si="0">SUM(B3:B4)</f>
        <v>-860716</v>
      </c>
      <c r="C5" s="162">
        <f t="shared" si="0"/>
        <v>2301788</v>
      </c>
      <c r="D5" s="162">
        <f t="shared" si="0"/>
        <v>3306058</v>
      </c>
      <c r="E5" s="162">
        <f t="shared" si="0"/>
        <v>4311214</v>
      </c>
      <c r="F5" s="162">
        <f t="shared" si="0"/>
        <v>7132784</v>
      </c>
      <c r="G5" s="162">
        <f>SUM(G3:G4)</f>
        <v>753652</v>
      </c>
      <c r="H5" s="162">
        <f>SUM(H3:H4)</f>
        <v>2481625</v>
      </c>
      <c r="I5" s="162">
        <f>SUM(I3:I4)</f>
        <v>6315667</v>
      </c>
      <c r="J5" s="162">
        <f>SUM(J3:J4)</f>
        <v>6085401</v>
      </c>
      <c r="K5" s="409">
        <f>SUM(K3:K4)</f>
        <v>5924797</v>
      </c>
      <c r="L5" s="373">
        <v>10399099</v>
      </c>
    </row>
    <row r="6" spans="1:12" s="3" customFormat="1" x14ac:dyDescent="0.2">
      <c r="A6" s="90" t="s">
        <v>36</v>
      </c>
      <c r="B6" s="85">
        <v>1594450</v>
      </c>
      <c r="C6" s="85">
        <v>113621</v>
      </c>
      <c r="D6" s="85">
        <v>2291642</v>
      </c>
      <c r="E6" s="85">
        <v>77860</v>
      </c>
      <c r="F6" s="85">
        <v>774127</v>
      </c>
      <c r="G6" s="2">
        <v>61484</v>
      </c>
      <c r="H6" s="2">
        <v>302468</v>
      </c>
      <c r="I6" s="2">
        <v>667441</v>
      </c>
      <c r="J6" s="2">
        <v>1408601</v>
      </c>
      <c r="K6" s="2">
        <v>1184145</v>
      </c>
      <c r="L6" s="326">
        <v>2772631</v>
      </c>
    </row>
    <row r="7" spans="1:12" s="5" customFormat="1" x14ac:dyDescent="0.2">
      <c r="A7" s="91" t="s">
        <v>37</v>
      </c>
      <c r="B7" s="94">
        <v>-819691</v>
      </c>
      <c r="C7" s="94">
        <v>-598463</v>
      </c>
      <c r="D7" s="94">
        <v>-1372074</v>
      </c>
      <c r="E7" s="94">
        <v>-2084428</v>
      </c>
      <c r="F7" s="94">
        <v>-1579556</v>
      </c>
      <c r="G7" s="94">
        <v>-1659844</v>
      </c>
      <c r="H7" s="94">
        <v>-2175395</v>
      </c>
      <c r="I7" s="94">
        <v>-2681842</v>
      </c>
      <c r="J7" s="94">
        <v>-12228099</v>
      </c>
      <c r="K7" s="94">
        <v>-5224542</v>
      </c>
      <c r="L7" s="235">
        <v>-4539739</v>
      </c>
    </row>
    <row r="8" spans="1:12" s="5" customFormat="1" x14ac:dyDescent="0.2">
      <c r="A8" s="91" t="s">
        <v>38</v>
      </c>
      <c r="B8" s="83"/>
      <c r="C8" s="94">
        <v>-9182</v>
      </c>
      <c r="D8" s="94">
        <v>-967043</v>
      </c>
      <c r="E8" s="94">
        <v>-172760</v>
      </c>
      <c r="F8" s="94">
        <v>-70141</v>
      </c>
      <c r="G8" s="303" t="s">
        <v>39</v>
      </c>
      <c r="H8" s="303" t="s">
        <v>39</v>
      </c>
      <c r="I8" s="303" t="s">
        <v>39</v>
      </c>
      <c r="J8" s="303" t="s">
        <v>39</v>
      </c>
      <c r="K8" s="303" t="s">
        <v>39</v>
      </c>
      <c r="L8" s="247"/>
    </row>
    <row r="9" spans="1:12" s="5" customFormat="1" ht="38.25" x14ac:dyDescent="0.2">
      <c r="A9" s="95" t="s">
        <v>223</v>
      </c>
      <c r="B9" s="83"/>
      <c r="C9" s="83"/>
      <c r="D9" s="94">
        <v>-210956</v>
      </c>
      <c r="E9" s="83" t="s">
        <v>39</v>
      </c>
      <c r="F9" s="83"/>
      <c r="G9" s="303" t="s">
        <v>39</v>
      </c>
      <c r="H9" s="303" t="s">
        <v>39</v>
      </c>
      <c r="I9" s="303" t="s">
        <v>39</v>
      </c>
      <c r="J9" s="303" t="s">
        <v>39</v>
      </c>
      <c r="K9" s="410" t="s">
        <v>39</v>
      </c>
      <c r="L9" s="371"/>
    </row>
    <row r="10" spans="1:12" s="5" customFormat="1" x14ac:dyDescent="0.2">
      <c r="A10" s="96" t="s">
        <v>40</v>
      </c>
      <c r="B10" s="163">
        <f t="shared" ref="B10:H10" si="1">SUM(B5:B9)</f>
        <v>-85957</v>
      </c>
      <c r="C10" s="163">
        <f t="shared" si="1"/>
        <v>1807764</v>
      </c>
      <c r="D10" s="163">
        <f t="shared" si="1"/>
        <v>3047627</v>
      </c>
      <c r="E10" s="163">
        <f t="shared" si="1"/>
        <v>2131886</v>
      </c>
      <c r="F10" s="163">
        <f t="shared" si="1"/>
        <v>6257214</v>
      </c>
      <c r="G10" s="163">
        <f t="shared" si="1"/>
        <v>-844708</v>
      </c>
      <c r="H10" s="163">
        <f t="shared" si="1"/>
        <v>608698</v>
      </c>
      <c r="I10" s="163">
        <f t="shared" ref="I10" si="2">SUM(I5:I9)</f>
        <v>4301266</v>
      </c>
      <c r="J10" s="163">
        <f>SUM(J5:J9)</f>
        <v>-4734097</v>
      </c>
      <c r="K10" s="163">
        <f>SUM(K5:K9)</f>
        <v>1884400</v>
      </c>
      <c r="L10" s="252">
        <v>8631991</v>
      </c>
    </row>
    <row r="11" spans="1:12" s="1" customFormat="1" ht="13.5" thickBot="1" x14ac:dyDescent="0.25">
      <c r="A11" s="97" t="s">
        <v>41</v>
      </c>
      <c r="B11" s="98">
        <v>-105342</v>
      </c>
      <c r="C11" s="98">
        <v>-522545</v>
      </c>
      <c r="D11" s="98">
        <v>-1209643</v>
      </c>
      <c r="E11" s="99">
        <v>455486</v>
      </c>
      <c r="F11" s="98">
        <v>-1506793</v>
      </c>
      <c r="G11" s="98">
        <v>-98568</v>
      </c>
      <c r="H11" s="98">
        <v>-370785</v>
      </c>
      <c r="I11" s="98">
        <v>-1020456</v>
      </c>
      <c r="J11" s="98">
        <v>518614</v>
      </c>
      <c r="K11" s="99">
        <v>-1740855</v>
      </c>
      <c r="L11" s="374">
        <v>-976193</v>
      </c>
    </row>
    <row r="12" spans="1:12" s="5" customFormat="1" x14ac:dyDescent="0.2">
      <c r="A12" s="96" t="s">
        <v>0</v>
      </c>
      <c r="B12" s="162">
        <f t="shared" ref="B12:F12" si="3">B10+B11</f>
        <v>-191299</v>
      </c>
      <c r="C12" s="162">
        <f t="shared" si="3"/>
        <v>1285219</v>
      </c>
      <c r="D12" s="162">
        <f t="shared" si="3"/>
        <v>1837984</v>
      </c>
      <c r="E12" s="162">
        <f>E10+E11</f>
        <v>2587372</v>
      </c>
      <c r="F12" s="162">
        <f t="shared" si="3"/>
        <v>4750421</v>
      </c>
      <c r="G12" s="162">
        <f>G10+G11</f>
        <v>-943276</v>
      </c>
      <c r="H12" s="162">
        <f>H10+H11</f>
        <v>237913</v>
      </c>
      <c r="I12" s="162">
        <f>I10+I11</f>
        <v>3280810</v>
      </c>
      <c r="J12" s="162">
        <f>SUM(J10:J11)</f>
        <v>-4215483</v>
      </c>
      <c r="K12" s="163">
        <f>SUM(K10:K11)</f>
        <v>143545</v>
      </c>
      <c r="L12" s="252">
        <v>7655798</v>
      </c>
    </row>
    <row r="13" spans="1:12" s="5" customFormat="1" x14ac:dyDescent="0.2">
      <c r="A13" s="91" t="s">
        <v>42</v>
      </c>
      <c r="B13" s="83"/>
      <c r="C13" s="83"/>
      <c r="D13" s="83"/>
      <c r="E13" s="83"/>
      <c r="F13" s="83"/>
      <c r="G13" s="7"/>
      <c r="H13" s="7"/>
      <c r="I13" s="7"/>
      <c r="J13" s="7"/>
      <c r="K13" s="410"/>
      <c r="L13" s="371"/>
    </row>
    <row r="14" spans="1:12" s="5" customFormat="1" x14ac:dyDescent="0.2">
      <c r="A14" s="106" t="s">
        <v>43</v>
      </c>
      <c r="B14" s="83"/>
      <c r="C14" s="83">
        <v>1285219</v>
      </c>
      <c r="D14" s="83">
        <v>1833660</v>
      </c>
      <c r="E14" s="83" t="s">
        <v>44</v>
      </c>
      <c r="F14" s="83">
        <v>4746691</v>
      </c>
      <c r="G14" s="92">
        <v>-950511</v>
      </c>
      <c r="H14" s="4">
        <v>239696</v>
      </c>
      <c r="I14" s="4">
        <v>3273138</v>
      </c>
      <c r="J14" s="4">
        <v>-4227071</v>
      </c>
      <c r="K14" s="92">
        <v>148463</v>
      </c>
      <c r="L14" s="251">
        <v>7614942</v>
      </c>
    </row>
    <row r="15" spans="1:12" s="5" customFormat="1" x14ac:dyDescent="0.2">
      <c r="A15" s="100" t="s">
        <v>152</v>
      </c>
      <c r="B15" s="83"/>
      <c r="C15" s="83"/>
      <c r="D15" s="83">
        <v>4324</v>
      </c>
      <c r="E15" s="83">
        <v>8891</v>
      </c>
      <c r="F15" s="83">
        <v>3730</v>
      </c>
      <c r="G15" s="4">
        <v>7235</v>
      </c>
      <c r="H15" s="94">
        <v>-1783</v>
      </c>
      <c r="I15" s="4">
        <v>7672</v>
      </c>
      <c r="J15" s="4">
        <v>11588</v>
      </c>
      <c r="K15" s="83">
        <v>-4918</v>
      </c>
      <c r="L15" s="375">
        <v>40856</v>
      </c>
    </row>
    <row r="16" spans="1:12" s="5" customFormat="1" x14ac:dyDescent="0.2">
      <c r="A16" s="91"/>
      <c r="B16" s="83"/>
      <c r="C16" s="83"/>
      <c r="D16" s="83"/>
      <c r="E16" s="83"/>
      <c r="F16" s="83"/>
      <c r="G16" s="7"/>
      <c r="H16" s="4"/>
      <c r="I16" s="4"/>
      <c r="J16" s="4"/>
      <c r="K16" s="410"/>
      <c r="L16" s="371"/>
    </row>
    <row r="17" spans="1:12" s="5" customFormat="1" ht="25.5" x14ac:dyDescent="0.2">
      <c r="A17" s="95" t="s">
        <v>45</v>
      </c>
      <c r="B17" s="101">
        <v>-0.24</v>
      </c>
      <c r="C17" s="101">
        <v>1.58</v>
      </c>
      <c r="D17" s="101">
        <v>2.11</v>
      </c>
      <c r="E17" s="101">
        <v>2.5299999999999998</v>
      </c>
      <c r="F17" s="101">
        <v>4.66</v>
      </c>
      <c r="G17" s="304">
        <v>-0.93</v>
      </c>
      <c r="H17" s="7">
        <v>0.09</v>
      </c>
      <c r="I17" s="7">
        <v>2.42</v>
      </c>
      <c r="J17" s="7">
        <v>-2.4900000000000002</v>
      </c>
      <c r="K17" s="411">
        <v>0.08</v>
      </c>
      <c r="L17" s="370">
        <v>0.88</v>
      </c>
    </row>
    <row r="18" spans="1:12" s="1" customFormat="1" ht="39" thickBot="1" x14ac:dyDescent="0.25">
      <c r="A18" s="102" t="s">
        <v>46</v>
      </c>
      <c r="B18" s="103">
        <v>-0.24</v>
      </c>
      <c r="C18" s="103">
        <v>1.58</v>
      </c>
      <c r="D18" s="103">
        <v>2.11</v>
      </c>
      <c r="E18" s="103">
        <v>2.5299999999999998</v>
      </c>
      <c r="F18" s="103">
        <v>4.66</v>
      </c>
      <c r="G18" s="10">
        <v>-0.93</v>
      </c>
      <c r="H18" s="10">
        <v>1.52</v>
      </c>
      <c r="I18" s="10">
        <v>2.42</v>
      </c>
      <c r="J18" s="10">
        <v>-2.4900000000000002</v>
      </c>
      <c r="K18" s="412">
        <v>0.08</v>
      </c>
      <c r="L18" s="372">
        <v>0.88</v>
      </c>
    </row>
    <row r="19" spans="1:12" x14ac:dyDescent="0.2">
      <c r="A19" s="18" t="s">
        <v>222</v>
      </c>
      <c r="H19" s="327"/>
      <c r="I19" s="12"/>
      <c r="J19" s="12"/>
      <c r="K19" s="413"/>
      <c r="L19" s="12"/>
    </row>
    <row r="20" spans="1:12" x14ac:dyDescent="0.2">
      <c r="I20" s="12"/>
      <c r="J20" s="12"/>
      <c r="K20" s="413"/>
      <c r="L20" s="12"/>
    </row>
    <row r="21" spans="1:12" x14ac:dyDescent="0.2">
      <c r="F21" s="104"/>
      <c r="I21" s="12"/>
      <c r="J21" s="12"/>
      <c r="K21" s="413"/>
      <c r="L21" s="12"/>
    </row>
    <row r="22" spans="1:12" x14ac:dyDescent="0.2">
      <c r="B22" s="105"/>
      <c r="C22" s="105"/>
      <c r="D22" s="105"/>
      <c r="E22" s="105"/>
      <c r="F22" s="105"/>
      <c r="I22" s="12"/>
      <c r="J22" s="12"/>
      <c r="K22" s="413"/>
      <c r="L22" s="12"/>
    </row>
    <row r="23" spans="1:12" x14ac:dyDescent="0.2">
      <c r="I23" s="13"/>
      <c r="J23" s="13"/>
      <c r="K23" s="414"/>
      <c r="L23" s="13"/>
    </row>
    <row r="24" spans="1:12" x14ac:dyDescent="0.2">
      <c r="B24" s="105"/>
      <c r="C24" s="105"/>
      <c r="D24" s="105"/>
      <c r="E24" s="105"/>
      <c r="F24" s="105"/>
      <c r="I24" s="13"/>
      <c r="J24" s="13"/>
      <c r="K24" s="414"/>
      <c r="L24" s="13"/>
    </row>
    <row r="26" spans="1:12" x14ac:dyDescent="0.2">
      <c r="B26" s="105"/>
      <c r="C26" s="105"/>
      <c r="D26" s="105"/>
      <c r="E26" s="105"/>
      <c r="F26" s="105"/>
    </row>
    <row r="27" spans="1:12" x14ac:dyDescent="0.2">
      <c r="B27" s="105"/>
      <c r="C27" s="105"/>
      <c r="D27" s="105"/>
      <c r="E27" s="105"/>
      <c r="F27" s="105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:G5 H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78"/>
  <sheetViews>
    <sheetView zoomScale="85" zoomScaleNormal="85" workbookViewId="0">
      <pane xSplit="1" topLeftCell="B1" activePane="topRight" state="frozen"/>
      <selection pane="topRight" activeCell="A27" sqref="A27"/>
    </sheetView>
  </sheetViews>
  <sheetFormatPr defaultRowHeight="12.75" x14ac:dyDescent="0.2"/>
  <cols>
    <col min="1" max="1" width="51.42578125" style="18" customWidth="1"/>
    <col min="2" max="2" width="9.7109375" style="9" customWidth="1"/>
    <col min="3" max="3" width="10.85546875" style="9" bestFit="1" customWidth="1"/>
    <col min="4" max="4" width="11.5703125" style="9" bestFit="1" customWidth="1"/>
    <col min="5" max="6" width="10.5703125" style="9" bestFit="1" customWidth="1"/>
    <col min="7" max="7" width="11.5703125" style="9" bestFit="1" customWidth="1"/>
    <col min="8" max="10" width="11.5703125" style="8" bestFit="1" customWidth="1"/>
    <col min="11" max="12" width="11.5703125" style="9" bestFit="1" customWidth="1"/>
    <col min="13" max="16384" width="9.140625" style="8"/>
  </cols>
  <sheetData>
    <row r="1" spans="1:12" s="72" customFormat="1" x14ac:dyDescent="0.2">
      <c r="A1" s="538" t="s">
        <v>148</v>
      </c>
      <c r="B1" s="538"/>
      <c r="C1" s="538"/>
      <c r="D1" s="538"/>
      <c r="E1" s="538"/>
      <c r="F1" s="538"/>
      <c r="G1" s="71"/>
      <c r="K1" s="407"/>
      <c r="L1" s="407"/>
    </row>
    <row r="2" spans="1:12" s="74" customFormat="1" ht="13.5" thickBot="1" x14ac:dyDescent="0.25">
      <c r="A2" s="89"/>
      <c r="B2" s="75">
        <v>2006</v>
      </c>
      <c r="C2" s="173">
        <v>2007</v>
      </c>
      <c r="D2" s="173">
        <v>2008</v>
      </c>
      <c r="E2" s="173">
        <v>2009</v>
      </c>
      <c r="F2" s="173">
        <v>2010</v>
      </c>
      <c r="G2" s="173">
        <v>2011</v>
      </c>
      <c r="H2" s="173">
        <v>2012</v>
      </c>
      <c r="I2" s="173">
        <v>2013</v>
      </c>
      <c r="J2" s="173">
        <v>2014</v>
      </c>
      <c r="K2" s="173">
        <v>2015</v>
      </c>
      <c r="L2" s="230">
        <v>2016</v>
      </c>
    </row>
    <row r="3" spans="1:12" x14ac:dyDescent="0.2">
      <c r="A3" s="107" t="s">
        <v>48</v>
      </c>
      <c r="B3" s="152"/>
      <c r="C3" s="152"/>
      <c r="D3" s="4"/>
      <c r="E3" s="4"/>
      <c r="F3" s="7"/>
      <c r="G3" s="9" t="s">
        <v>83</v>
      </c>
      <c r="H3" s="14"/>
      <c r="I3" s="9"/>
      <c r="J3" s="9"/>
      <c r="L3" s="233"/>
    </row>
    <row r="4" spans="1:12" x14ac:dyDescent="0.2">
      <c r="A4" s="107" t="s">
        <v>40</v>
      </c>
      <c r="B4" s="108">
        <f>'P&amp;L'!B10</f>
        <v>-85957</v>
      </c>
      <c r="C4" s="108">
        <f>'P&amp;L'!C10</f>
        <v>1807764</v>
      </c>
      <c r="D4" s="108">
        <f>'P&amp;L'!D10</f>
        <v>3047627</v>
      </c>
      <c r="E4" s="108">
        <f>'P&amp;L'!E10</f>
        <v>2131886</v>
      </c>
      <c r="F4" s="108">
        <f>'P&amp;L'!F10</f>
        <v>6257214</v>
      </c>
      <c r="G4" s="108">
        <f>'P&amp;L'!G10</f>
        <v>-844708</v>
      </c>
      <c r="H4" s="14">
        <v>608698</v>
      </c>
      <c r="I4" s="14">
        <v>4301266</v>
      </c>
      <c r="J4" s="14">
        <v>-4734097</v>
      </c>
      <c r="K4" s="14">
        <v>1884400</v>
      </c>
      <c r="L4" s="390">
        <v>8631991</v>
      </c>
    </row>
    <row r="5" spans="1:12" s="5" customFormat="1" ht="25.5" customHeight="1" x14ac:dyDescent="0.2">
      <c r="A5" s="376" t="s">
        <v>49</v>
      </c>
      <c r="B5" s="83"/>
      <c r="C5" s="14"/>
      <c r="D5" s="14"/>
      <c r="E5" s="14"/>
      <c r="F5" s="7"/>
      <c r="G5" s="303"/>
      <c r="H5" s="14"/>
      <c r="I5" s="7"/>
      <c r="J5" s="7"/>
      <c r="K5" s="7"/>
      <c r="L5" s="229"/>
    </row>
    <row r="6" spans="1:12" s="5" customFormat="1" x14ac:dyDescent="0.2">
      <c r="A6" s="18" t="s">
        <v>251</v>
      </c>
      <c r="B6" s="83">
        <v>2158914</v>
      </c>
      <c r="C6" s="14">
        <v>12024</v>
      </c>
      <c r="D6" s="14">
        <v>95902</v>
      </c>
      <c r="E6" s="14">
        <v>53306</v>
      </c>
      <c r="F6" s="14">
        <v>204429</v>
      </c>
      <c r="G6" s="14">
        <v>360781</v>
      </c>
      <c r="H6" s="14">
        <v>259103</v>
      </c>
      <c r="I6" s="14">
        <v>498680</v>
      </c>
      <c r="J6" s="14">
        <v>375189</v>
      </c>
      <c r="K6" s="14">
        <v>959311</v>
      </c>
      <c r="L6" s="390">
        <v>853791</v>
      </c>
    </row>
    <row r="7" spans="1:12" s="5" customFormat="1" x14ac:dyDescent="0.2">
      <c r="A7" s="18" t="s">
        <v>50</v>
      </c>
      <c r="B7" s="83"/>
      <c r="C7" s="14"/>
      <c r="D7" s="14">
        <v>797908</v>
      </c>
      <c r="E7" s="14"/>
      <c r="F7" s="7"/>
      <c r="G7" s="303"/>
      <c r="H7" s="14"/>
      <c r="I7" s="7"/>
      <c r="J7" s="7"/>
      <c r="K7" s="7"/>
      <c r="L7" s="229"/>
    </row>
    <row r="8" spans="1:12" s="5" customFormat="1" x14ac:dyDescent="0.2">
      <c r="A8" s="18" t="s">
        <v>36</v>
      </c>
      <c r="B8" s="108">
        <v>-1594450</v>
      </c>
      <c r="C8" s="108">
        <v>-109298</v>
      </c>
      <c r="D8" s="108">
        <v>-2291642</v>
      </c>
      <c r="E8" s="108">
        <v>-77860</v>
      </c>
      <c r="F8" s="108">
        <v>-774127</v>
      </c>
      <c r="G8" s="108">
        <v>-61484</v>
      </c>
      <c r="H8" s="108">
        <v>-302468</v>
      </c>
      <c r="I8" s="108">
        <v>-667441</v>
      </c>
      <c r="J8" s="108">
        <v>-1408601</v>
      </c>
      <c r="K8" s="108">
        <v>-1184145</v>
      </c>
      <c r="L8" s="378">
        <v>-2762394</v>
      </c>
    </row>
    <row r="9" spans="1:12" s="5" customFormat="1" x14ac:dyDescent="0.2">
      <c r="A9" s="18" t="s">
        <v>51</v>
      </c>
      <c r="B9" s="83">
        <v>657950</v>
      </c>
      <c r="C9" s="14">
        <v>1104824</v>
      </c>
      <c r="D9" s="14">
        <v>1702052</v>
      </c>
      <c r="E9" s="14">
        <v>3918077</v>
      </c>
      <c r="F9" s="14">
        <v>4430867</v>
      </c>
      <c r="G9" s="14">
        <v>4812663</v>
      </c>
      <c r="H9" s="14">
        <v>4216055</v>
      </c>
      <c r="I9" s="14">
        <v>3919750</v>
      </c>
      <c r="J9" s="14">
        <v>4826542</v>
      </c>
      <c r="K9" s="14">
        <v>5857738</v>
      </c>
      <c r="L9" s="390">
        <v>11830468</v>
      </c>
    </row>
    <row r="10" spans="1:12" s="5" customFormat="1" x14ac:dyDescent="0.2">
      <c r="A10" s="18" t="s">
        <v>52</v>
      </c>
      <c r="B10" s="83"/>
      <c r="C10" s="14">
        <v>22880</v>
      </c>
      <c r="D10" s="14">
        <v>77880</v>
      </c>
      <c r="E10" s="14">
        <v>128249</v>
      </c>
      <c r="F10" s="14">
        <v>117487</v>
      </c>
      <c r="G10" s="14">
        <v>114747</v>
      </c>
      <c r="H10" s="14">
        <v>87344</v>
      </c>
      <c r="I10" s="14">
        <v>122814</v>
      </c>
      <c r="J10" s="14">
        <v>140511</v>
      </c>
      <c r="K10" s="14">
        <v>160533</v>
      </c>
      <c r="L10" s="390">
        <v>1675696</v>
      </c>
    </row>
    <row r="11" spans="1:12" s="5" customFormat="1" x14ac:dyDescent="0.2">
      <c r="A11" s="18" t="s">
        <v>264</v>
      </c>
      <c r="B11" s="83"/>
      <c r="C11" s="14"/>
      <c r="D11" s="14"/>
      <c r="E11" s="14">
        <v>312833</v>
      </c>
      <c r="F11" s="14"/>
      <c r="G11" s="14">
        <v>4255798</v>
      </c>
      <c r="H11" s="14">
        <v>3600893</v>
      </c>
      <c r="I11" s="14" t="s">
        <v>39</v>
      </c>
      <c r="J11" s="14">
        <v>2376607</v>
      </c>
      <c r="K11" s="14">
        <v>-5601749</v>
      </c>
      <c r="L11" s="390" t="s">
        <v>270</v>
      </c>
    </row>
    <row r="12" spans="1:12" s="5" customFormat="1" x14ac:dyDescent="0.2">
      <c r="A12" s="18" t="s">
        <v>265</v>
      </c>
      <c r="B12" s="83"/>
      <c r="C12" s="14"/>
      <c r="D12" s="14"/>
      <c r="E12" s="14">
        <v>139000</v>
      </c>
      <c r="F12" s="14">
        <v>37360</v>
      </c>
      <c r="G12" s="14">
        <v>148440</v>
      </c>
      <c r="H12" s="108">
        <v>-129110</v>
      </c>
      <c r="I12" s="14">
        <v>31529</v>
      </c>
      <c r="J12" s="14" t="s">
        <v>39</v>
      </c>
      <c r="K12" s="14">
        <v>-36525</v>
      </c>
      <c r="L12" s="390">
        <v>623017</v>
      </c>
    </row>
    <row r="13" spans="1:12" s="5" customFormat="1" x14ac:dyDescent="0.2">
      <c r="A13" s="18" t="s">
        <v>215</v>
      </c>
      <c r="B13" s="83"/>
      <c r="C13" s="14"/>
      <c r="D13" s="14"/>
      <c r="E13" s="14"/>
      <c r="F13" s="14"/>
      <c r="G13" s="14"/>
      <c r="H13" s="108">
        <v>17860</v>
      </c>
      <c r="I13" s="14" t="s">
        <v>39</v>
      </c>
      <c r="J13" s="14" t="s">
        <v>39</v>
      </c>
      <c r="K13" s="14"/>
      <c r="L13" s="390"/>
    </row>
    <row r="14" spans="1:12" s="5" customFormat="1" x14ac:dyDescent="0.2">
      <c r="A14" s="18" t="s">
        <v>37</v>
      </c>
      <c r="B14" s="83">
        <v>819691</v>
      </c>
      <c r="C14" s="14">
        <v>603322</v>
      </c>
      <c r="D14" s="14">
        <v>1372074</v>
      </c>
      <c r="E14" s="14">
        <v>2084428</v>
      </c>
      <c r="F14" s="14">
        <v>1579556</v>
      </c>
      <c r="G14" s="14">
        <v>1659844</v>
      </c>
      <c r="H14" s="14">
        <v>2175395</v>
      </c>
      <c r="I14" s="14">
        <v>2681842</v>
      </c>
      <c r="J14" s="14">
        <v>12228099</v>
      </c>
      <c r="K14" s="14">
        <v>5224542</v>
      </c>
      <c r="L14" s="390">
        <v>4539739</v>
      </c>
    </row>
    <row r="15" spans="1:12" s="5" customFormat="1" ht="13.5" customHeight="1" x14ac:dyDescent="0.2">
      <c r="A15" s="17" t="s">
        <v>53</v>
      </c>
      <c r="B15" s="83"/>
      <c r="C15" s="14"/>
      <c r="D15" s="14">
        <v>210956</v>
      </c>
      <c r="E15" s="14"/>
      <c r="F15" s="7"/>
      <c r="G15" s="303" t="s">
        <v>39</v>
      </c>
      <c r="H15" s="14"/>
      <c r="I15" s="303" t="s">
        <v>39</v>
      </c>
      <c r="J15" s="303" t="s">
        <v>39</v>
      </c>
      <c r="K15" s="303"/>
      <c r="L15" s="247"/>
    </row>
    <row r="16" spans="1:12" s="5" customFormat="1" ht="25.5" x14ac:dyDescent="0.2">
      <c r="A16" s="17" t="s">
        <v>252</v>
      </c>
      <c r="B16" s="108">
        <v>-322854</v>
      </c>
      <c r="C16" s="14">
        <v>312524</v>
      </c>
      <c r="D16" s="14">
        <v>172609</v>
      </c>
      <c r="E16" s="14">
        <v>226052</v>
      </c>
      <c r="F16" s="14">
        <v>260548</v>
      </c>
      <c r="G16" s="14">
        <v>505329</v>
      </c>
      <c r="H16" s="14">
        <v>213796</v>
      </c>
      <c r="I16" s="14">
        <v>256783</v>
      </c>
      <c r="J16" s="14">
        <v>63944</v>
      </c>
      <c r="K16" s="14">
        <v>1407384</v>
      </c>
      <c r="L16" s="390">
        <v>2366402</v>
      </c>
    </row>
    <row r="17" spans="1:12" s="5" customFormat="1" ht="27.75" customHeight="1" x14ac:dyDescent="0.2">
      <c r="A17" s="17" t="s">
        <v>84</v>
      </c>
      <c r="B17" s="83">
        <v>0</v>
      </c>
      <c r="C17" s="14">
        <v>0</v>
      </c>
      <c r="D17" s="14">
        <v>0</v>
      </c>
      <c r="E17" s="14">
        <v>490894</v>
      </c>
      <c r="F17" s="14">
        <v>94242</v>
      </c>
      <c r="G17" s="14">
        <v>122558</v>
      </c>
      <c r="H17" s="14">
        <v>61364</v>
      </c>
      <c r="I17" s="14" t="s">
        <v>39</v>
      </c>
      <c r="J17" s="14" t="s">
        <v>39</v>
      </c>
      <c r="K17" s="14"/>
      <c r="L17" s="390"/>
    </row>
    <row r="18" spans="1:12" s="5" customFormat="1" ht="25.5" x14ac:dyDescent="0.2">
      <c r="A18" s="17" t="s">
        <v>54</v>
      </c>
      <c r="B18" s="108">
        <v>-64893</v>
      </c>
      <c r="C18" s="108">
        <v>-710450</v>
      </c>
      <c r="D18" s="108">
        <v>-498339</v>
      </c>
      <c r="E18" s="108">
        <v>-2293975</v>
      </c>
      <c r="F18" s="108">
        <v>-4525382</v>
      </c>
      <c r="G18" s="108">
        <v>-3661767</v>
      </c>
      <c r="H18" s="108">
        <v>-747423</v>
      </c>
      <c r="I18" s="108">
        <v>-613229</v>
      </c>
      <c r="J18" s="108">
        <v>-925518</v>
      </c>
      <c r="K18" s="108">
        <v>-954338</v>
      </c>
      <c r="L18" s="378">
        <v>-2849210</v>
      </c>
    </row>
    <row r="19" spans="1:12" s="5" customFormat="1" x14ac:dyDescent="0.2">
      <c r="A19" s="17" t="s">
        <v>38</v>
      </c>
      <c r="B19" s="83"/>
      <c r="C19" s="14"/>
      <c r="D19" s="16">
        <v>967043</v>
      </c>
      <c r="E19" s="16">
        <v>172760</v>
      </c>
      <c r="F19" s="14">
        <v>70141</v>
      </c>
      <c r="G19" s="303" t="s">
        <v>39</v>
      </c>
      <c r="H19" s="14"/>
      <c r="I19" s="7"/>
      <c r="J19" s="7" t="s">
        <v>39</v>
      </c>
      <c r="K19" s="7"/>
      <c r="L19" s="229"/>
    </row>
    <row r="20" spans="1:12" s="5" customFormat="1" x14ac:dyDescent="0.2">
      <c r="A20" s="18" t="s">
        <v>253</v>
      </c>
      <c r="B20" s="83">
        <v>62711</v>
      </c>
      <c r="C20" s="14">
        <v>54427</v>
      </c>
      <c r="D20" s="14">
        <v>42431</v>
      </c>
      <c r="E20" s="14">
        <v>3512</v>
      </c>
      <c r="F20" s="108">
        <v>-50877</v>
      </c>
      <c r="G20" s="14">
        <v>15393</v>
      </c>
      <c r="H20" s="14">
        <v>28918</v>
      </c>
      <c r="I20" s="108">
        <v>-3344</v>
      </c>
      <c r="J20" s="108">
        <v>-116942</v>
      </c>
      <c r="K20" s="108">
        <v>1052</v>
      </c>
      <c r="L20" s="378">
        <v>68775</v>
      </c>
    </row>
    <row r="21" spans="1:12" s="5" customFormat="1" ht="25.5" x14ac:dyDescent="0.2">
      <c r="A21" s="17" t="s">
        <v>55</v>
      </c>
      <c r="B21" s="83"/>
      <c r="C21" s="14">
        <v>52333</v>
      </c>
      <c r="D21" s="14">
        <v>56500</v>
      </c>
      <c r="E21" s="14">
        <v>15317</v>
      </c>
      <c r="F21" s="14">
        <v>90418</v>
      </c>
      <c r="G21" s="14">
        <v>98935</v>
      </c>
      <c r="H21" s="14">
        <v>109725</v>
      </c>
      <c r="I21" s="14">
        <v>189369</v>
      </c>
      <c r="J21" s="14">
        <v>15133</v>
      </c>
      <c r="K21" s="14">
        <v>93851</v>
      </c>
      <c r="L21" s="390">
        <v>47429</v>
      </c>
    </row>
    <row r="22" spans="1:12" s="5" customFormat="1" x14ac:dyDescent="0.2">
      <c r="A22" s="17" t="s">
        <v>86</v>
      </c>
      <c r="B22" s="83">
        <v>126502</v>
      </c>
      <c r="C22" s="14">
        <v>122701</v>
      </c>
      <c r="D22" s="108">
        <v>-1595</v>
      </c>
      <c r="E22" s="14">
        <v>178197</v>
      </c>
      <c r="F22" s="108"/>
      <c r="G22" s="7"/>
      <c r="H22" s="14"/>
      <c r="I22" s="94"/>
      <c r="J22" s="94"/>
      <c r="K22" s="94"/>
      <c r="L22" s="235"/>
    </row>
    <row r="23" spans="1:12" s="5" customFormat="1" x14ac:dyDescent="0.2">
      <c r="A23" s="17" t="s">
        <v>188</v>
      </c>
      <c r="B23" s="83"/>
      <c r="C23" s="14"/>
      <c r="D23" s="108"/>
      <c r="E23" s="14"/>
      <c r="F23" s="108">
        <v>-27032</v>
      </c>
      <c r="G23" s="14">
        <v>86560</v>
      </c>
      <c r="H23" s="14">
        <v>601539</v>
      </c>
      <c r="I23" s="94">
        <v>2825112</v>
      </c>
      <c r="J23" s="94">
        <v>3239340</v>
      </c>
      <c r="K23" s="94">
        <v>2529576</v>
      </c>
      <c r="L23" s="235">
        <v>1151575</v>
      </c>
    </row>
    <row r="24" spans="1:12" s="1" customFormat="1" ht="26.25" thickBot="1" x14ac:dyDescent="0.25">
      <c r="A24" s="109" t="s">
        <v>56</v>
      </c>
      <c r="B24" s="157">
        <f>SUM(B4:B22)</f>
        <v>1757614</v>
      </c>
      <c r="C24" s="157">
        <f>SUM(C4:C22)</f>
        <v>3273051</v>
      </c>
      <c r="D24" s="157">
        <f>SUM(D4:D22)</f>
        <v>5751406</v>
      </c>
      <c r="E24" s="157">
        <f>SUM(E4:E22)</f>
        <v>7482676</v>
      </c>
      <c r="F24" s="157">
        <f t="shared" ref="F24:K24" si="0">SUM(F4:F23)</f>
        <v>7764844</v>
      </c>
      <c r="G24" s="157">
        <f t="shared" si="0"/>
        <v>7613089</v>
      </c>
      <c r="H24" s="157">
        <f t="shared" si="0"/>
        <v>10801689</v>
      </c>
      <c r="I24" s="157">
        <f t="shared" si="0"/>
        <v>13543131</v>
      </c>
      <c r="J24" s="157">
        <f t="shared" si="0"/>
        <v>16080207</v>
      </c>
      <c r="K24" s="157">
        <f t="shared" si="0"/>
        <v>10341630</v>
      </c>
      <c r="L24" s="379">
        <v>26177279</v>
      </c>
    </row>
    <row r="25" spans="1:12" s="3" customFormat="1" ht="25.5" x14ac:dyDescent="0.2">
      <c r="A25" s="110" t="s">
        <v>254</v>
      </c>
      <c r="B25" s="85">
        <v>975430</v>
      </c>
      <c r="C25" s="108">
        <v>-3525209</v>
      </c>
      <c r="D25" s="108">
        <v>-378324</v>
      </c>
      <c r="E25" s="108">
        <v>-2308916</v>
      </c>
      <c r="F25" s="108">
        <v>-2282071</v>
      </c>
      <c r="G25" s="15">
        <v>4074509</v>
      </c>
      <c r="H25" s="108">
        <v>-495017</v>
      </c>
      <c r="I25" s="108">
        <v>4515766</v>
      </c>
      <c r="J25" s="108">
        <v>1708337</v>
      </c>
      <c r="K25" s="108">
        <v>-2501453</v>
      </c>
      <c r="L25" s="378">
        <v>-6707927</v>
      </c>
    </row>
    <row r="26" spans="1:12" s="5" customFormat="1" x14ac:dyDescent="0.2">
      <c r="A26" s="18" t="s">
        <v>255</v>
      </c>
      <c r="B26" s="83"/>
      <c r="C26" s="14">
        <v>2445544</v>
      </c>
      <c r="D26" s="14">
        <v>5412848</v>
      </c>
      <c r="E26" s="14">
        <v>4957786</v>
      </c>
      <c r="F26" s="14">
        <v>1122120</v>
      </c>
      <c r="G26" s="108">
        <v>-4314711</v>
      </c>
      <c r="H26" s="4">
        <v>2896961</v>
      </c>
      <c r="I26" s="108">
        <v>-24357</v>
      </c>
      <c r="J26" s="108">
        <v>-2648327</v>
      </c>
      <c r="K26" s="108">
        <v>-424844</v>
      </c>
      <c r="L26" s="378">
        <v>-2597270</v>
      </c>
    </row>
    <row r="27" spans="1:12" s="5" customFormat="1" x14ac:dyDescent="0.2">
      <c r="A27" s="18" t="s">
        <v>57</v>
      </c>
      <c r="B27" s="83"/>
      <c r="C27" s="14">
        <v>1534911</v>
      </c>
      <c r="D27" s="14">
        <v>1361480</v>
      </c>
      <c r="E27" s="14">
        <v>-3517671</v>
      </c>
      <c r="F27" s="14">
        <v>660853</v>
      </c>
      <c r="G27" s="4">
        <v>2759575</v>
      </c>
      <c r="H27" s="108">
        <v>-3107275</v>
      </c>
      <c r="I27" s="108">
        <v>326398</v>
      </c>
      <c r="J27" s="108">
        <v>1530931</v>
      </c>
      <c r="K27" s="108">
        <v>396388</v>
      </c>
      <c r="L27" s="378">
        <v>1789414</v>
      </c>
    </row>
    <row r="28" spans="1:12" s="5" customFormat="1" x14ac:dyDescent="0.2">
      <c r="A28" s="17" t="s">
        <v>256</v>
      </c>
      <c r="B28" s="83">
        <v>76644</v>
      </c>
      <c r="C28" s="108">
        <v>-115295</v>
      </c>
      <c r="D28" s="108">
        <v>-406135</v>
      </c>
      <c r="E28" s="14">
        <v>67965</v>
      </c>
      <c r="F28" s="108">
        <v>-137332</v>
      </c>
      <c r="G28" s="4">
        <v>346281</v>
      </c>
      <c r="H28" s="108">
        <v>-1286205</v>
      </c>
      <c r="I28" s="108">
        <v>-3765060</v>
      </c>
      <c r="J28" s="108">
        <v>-2356367</v>
      </c>
      <c r="K28" s="108">
        <v>5976061</v>
      </c>
      <c r="L28" s="378">
        <v>-6416215</v>
      </c>
    </row>
    <row r="29" spans="1:12" s="5" customFormat="1" x14ac:dyDescent="0.2">
      <c r="A29" s="18" t="s">
        <v>58</v>
      </c>
      <c r="B29" s="108">
        <v>-67018</v>
      </c>
      <c r="C29" s="108">
        <v>-46798</v>
      </c>
      <c r="D29" s="108">
        <v>-30321</v>
      </c>
      <c r="E29" s="108">
        <v>-129193</v>
      </c>
      <c r="F29" s="108">
        <v>-40736</v>
      </c>
      <c r="G29" s="4">
        <v>147781</v>
      </c>
      <c r="H29" s="108">
        <v>-18497</v>
      </c>
      <c r="I29" s="108">
        <v>-136695</v>
      </c>
      <c r="J29" s="108">
        <v>-100356</v>
      </c>
      <c r="K29" s="108">
        <v>159010</v>
      </c>
      <c r="L29" s="378">
        <v>-36461</v>
      </c>
    </row>
    <row r="30" spans="1:12" s="5" customFormat="1" ht="25.5" x14ac:dyDescent="0.2">
      <c r="A30" s="17" t="s">
        <v>59</v>
      </c>
      <c r="B30" s="108">
        <v>-26292</v>
      </c>
      <c r="C30" s="14">
        <v>18106</v>
      </c>
      <c r="D30" s="108">
        <v>-45278</v>
      </c>
      <c r="E30" s="108">
        <v>-232348</v>
      </c>
      <c r="F30" s="14"/>
      <c r="G30" s="7"/>
      <c r="H30" s="7"/>
      <c r="I30" s="7"/>
      <c r="J30" s="7"/>
      <c r="K30" s="7"/>
      <c r="L30" s="229"/>
    </row>
    <row r="31" spans="1:12" s="5" customFormat="1" x14ac:dyDescent="0.2">
      <c r="A31" s="18" t="s">
        <v>266</v>
      </c>
      <c r="B31" s="83">
        <v>2688</v>
      </c>
      <c r="C31" s="108">
        <v>-1787582</v>
      </c>
      <c r="D31" s="108">
        <v>-1335154</v>
      </c>
      <c r="E31" s="14">
        <v>561835</v>
      </c>
      <c r="F31" s="108">
        <v>-275750</v>
      </c>
      <c r="G31" s="108">
        <v>-271721</v>
      </c>
      <c r="H31" s="4">
        <v>907126</v>
      </c>
      <c r="I31" s="4">
        <v>26615</v>
      </c>
      <c r="J31" s="4">
        <v>-1615326</v>
      </c>
      <c r="K31" s="4">
        <v>2677874</v>
      </c>
      <c r="L31" s="234">
        <v>321327</v>
      </c>
    </row>
    <row r="32" spans="1:12" s="1" customFormat="1" ht="12" customHeight="1" thickBot="1" x14ac:dyDescent="0.25">
      <c r="A32" s="111" t="s">
        <v>60</v>
      </c>
      <c r="B32" s="99">
        <v>15309</v>
      </c>
      <c r="C32" s="19"/>
      <c r="D32" s="19"/>
      <c r="E32" s="19"/>
      <c r="F32" s="10"/>
      <c r="G32" s="10"/>
      <c r="H32" s="10"/>
      <c r="I32" s="10"/>
      <c r="J32" s="10"/>
      <c r="K32" s="10"/>
      <c r="L32" s="231"/>
    </row>
    <row r="33" spans="1:12" x14ac:dyDescent="0.2">
      <c r="A33" s="107" t="s">
        <v>48</v>
      </c>
      <c r="B33" s="158">
        <f t="shared" ref="B33:H33" si="1">SUM(B24:B32)</f>
        <v>2734375</v>
      </c>
      <c r="C33" s="158">
        <f t="shared" si="1"/>
        <v>1796728</v>
      </c>
      <c r="D33" s="158">
        <f t="shared" si="1"/>
        <v>10330522</v>
      </c>
      <c r="E33" s="158">
        <f t="shared" si="1"/>
        <v>6882134</v>
      </c>
      <c r="F33" s="158">
        <f>SUM(F24:F32)</f>
        <v>6811928</v>
      </c>
      <c r="G33" s="158">
        <f t="shared" si="1"/>
        <v>10354803</v>
      </c>
      <c r="H33" s="158">
        <f t="shared" si="1"/>
        <v>9698782</v>
      </c>
      <c r="I33" s="158">
        <f t="shared" ref="I33" si="2">SUM(I24:I32)</f>
        <v>14485798</v>
      </c>
      <c r="J33" s="158">
        <f>SUM(J24:J31)</f>
        <v>12599099</v>
      </c>
      <c r="K33" s="158">
        <f>SUM(K24:K31)</f>
        <v>16624666</v>
      </c>
      <c r="L33" s="382">
        <v>12530147</v>
      </c>
    </row>
    <row r="34" spans="1:12" s="5" customFormat="1" x14ac:dyDescent="0.2">
      <c r="A34" s="18" t="s">
        <v>61</v>
      </c>
      <c r="B34" s="108">
        <v>-489356</v>
      </c>
      <c r="C34" s="108">
        <v>-430168</v>
      </c>
      <c r="D34" s="108">
        <v>-852280</v>
      </c>
      <c r="E34" s="108">
        <v>-992572</v>
      </c>
      <c r="F34" s="108">
        <v>-1268358</v>
      </c>
      <c r="G34" s="108">
        <v>-1388378</v>
      </c>
      <c r="H34" s="108">
        <v>-2066840</v>
      </c>
      <c r="I34" s="108">
        <v>-2606503</v>
      </c>
      <c r="J34" s="108">
        <v>-3555854</v>
      </c>
      <c r="K34" s="108">
        <v>-4805284</v>
      </c>
      <c r="L34" s="378">
        <v>-3402861</v>
      </c>
    </row>
    <row r="35" spans="1:12" s="5" customFormat="1" x14ac:dyDescent="0.2">
      <c r="A35" s="18" t="s">
        <v>62</v>
      </c>
      <c r="B35" s="108">
        <v>-839363</v>
      </c>
      <c r="C35" s="108">
        <v>-334025</v>
      </c>
      <c r="D35" s="108">
        <v>-502175</v>
      </c>
      <c r="E35" s="108">
        <v>-512102</v>
      </c>
      <c r="F35" s="108">
        <v>-1734459</v>
      </c>
      <c r="G35" s="108">
        <v>-982139</v>
      </c>
      <c r="H35" s="108">
        <v>-120791</v>
      </c>
      <c r="I35" s="108">
        <v>-822293</v>
      </c>
      <c r="J35" s="108">
        <v>-846018</v>
      </c>
      <c r="K35" s="108">
        <v>-77017</v>
      </c>
      <c r="L35" s="378">
        <v>-2659931</v>
      </c>
    </row>
    <row r="36" spans="1:12" s="5" customFormat="1" x14ac:dyDescent="0.2">
      <c r="A36" s="18" t="s">
        <v>63</v>
      </c>
      <c r="B36" s="108"/>
      <c r="C36" s="108">
        <v>-19484</v>
      </c>
      <c r="D36" s="108">
        <v>-25600</v>
      </c>
      <c r="E36" s="108">
        <v>-29094</v>
      </c>
      <c r="F36" s="108">
        <v>-33642</v>
      </c>
      <c r="G36" s="108">
        <v>-40206</v>
      </c>
      <c r="H36" s="108">
        <v>-36614</v>
      </c>
      <c r="I36" s="108">
        <v>-42584</v>
      </c>
      <c r="J36" s="108">
        <v>-51113</v>
      </c>
      <c r="K36" s="108">
        <v>-57191</v>
      </c>
      <c r="L36" s="378">
        <v>-52692</v>
      </c>
    </row>
    <row r="37" spans="1:12" s="5" customFormat="1" x14ac:dyDescent="0.2">
      <c r="A37" s="18" t="s">
        <v>74</v>
      </c>
      <c r="B37" s="108"/>
      <c r="C37" s="108"/>
      <c r="D37" s="108"/>
      <c r="E37" s="108"/>
      <c r="F37" s="108"/>
      <c r="G37" s="108">
        <v>61484</v>
      </c>
      <c r="H37" s="108">
        <v>302468</v>
      </c>
      <c r="I37" s="108">
        <v>587287</v>
      </c>
      <c r="J37" s="108">
        <v>700356</v>
      </c>
      <c r="K37" s="108">
        <v>1985913</v>
      </c>
      <c r="L37" s="378">
        <v>1820562</v>
      </c>
    </row>
    <row r="38" spans="1:12" s="1" customFormat="1" ht="13.5" thickBot="1" x14ac:dyDescent="0.25">
      <c r="A38" s="109" t="s">
        <v>64</v>
      </c>
      <c r="B38" s="159">
        <f t="shared" ref="B38:E38" si="3">SUM(B33:B36)</f>
        <v>1405656</v>
      </c>
      <c r="C38" s="159">
        <f t="shared" si="3"/>
        <v>1013051</v>
      </c>
      <c r="D38" s="159">
        <f t="shared" si="3"/>
        <v>8950467</v>
      </c>
      <c r="E38" s="159">
        <f t="shared" si="3"/>
        <v>5348366</v>
      </c>
      <c r="F38" s="159">
        <f>SUM(F33:F36)</f>
        <v>3775469</v>
      </c>
      <c r="G38" s="159">
        <f>SUM(G33:G37)</f>
        <v>8005564</v>
      </c>
      <c r="H38" s="159">
        <f>SUM(H33:H37)</f>
        <v>7777005</v>
      </c>
      <c r="I38" s="159">
        <f>SUM(I33:I37)</f>
        <v>11601705</v>
      </c>
      <c r="J38" s="159">
        <f>SUM(J33:J37)</f>
        <v>8846470</v>
      </c>
      <c r="K38" s="159">
        <f>SUM(K33:K37)</f>
        <v>13671087</v>
      </c>
      <c r="L38" s="232">
        <v>8235225</v>
      </c>
    </row>
    <row r="39" spans="1:12" s="3" customFormat="1" x14ac:dyDescent="0.2">
      <c r="A39" s="112" t="s">
        <v>65</v>
      </c>
      <c r="B39" s="80"/>
      <c r="C39" s="80"/>
      <c r="D39" s="2"/>
      <c r="E39" s="2"/>
      <c r="F39" s="11"/>
      <c r="G39" s="11"/>
      <c r="H39" s="108"/>
      <c r="I39" s="108"/>
      <c r="J39" s="108"/>
      <c r="K39" s="108"/>
      <c r="L39" s="378"/>
    </row>
    <row r="40" spans="1:12" s="5" customFormat="1" ht="25.5" x14ac:dyDescent="0.2">
      <c r="A40" s="17" t="s">
        <v>66</v>
      </c>
      <c r="B40" s="83">
        <v>3947444</v>
      </c>
      <c r="C40" s="14"/>
      <c r="D40" s="14"/>
      <c r="E40" s="14"/>
      <c r="F40" s="14">
        <v>657087</v>
      </c>
      <c r="G40" s="7" t="s">
        <v>39</v>
      </c>
      <c r="H40" s="108"/>
      <c r="I40" s="108"/>
      <c r="J40" s="108"/>
      <c r="K40" s="108"/>
      <c r="L40" s="378"/>
    </row>
    <row r="41" spans="1:12" s="5" customFormat="1" x14ac:dyDescent="0.2">
      <c r="A41" s="18" t="s">
        <v>67</v>
      </c>
      <c r="B41" s="108">
        <v>-2942374</v>
      </c>
      <c r="C41" s="108">
        <v>-3568567</v>
      </c>
      <c r="D41" s="108">
        <v>-9336268</v>
      </c>
      <c r="E41" s="108">
        <v>-6335270</v>
      </c>
      <c r="F41" s="108">
        <v>-5825998</v>
      </c>
      <c r="G41" s="108">
        <v>-11789046</v>
      </c>
      <c r="H41" s="108">
        <v>-11274948</v>
      </c>
      <c r="I41" s="108">
        <v>-15541128</v>
      </c>
      <c r="J41" s="108">
        <v>-19957028</v>
      </c>
      <c r="K41" s="108">
        <v>-10665349</v>
      </c>
      <c r="L41" s="378">
        <v>-20716166</v>
      </c>
    </row>
    <row r="42" spans="1:12" s="5" customFormat="1" x14ac:dyDescent="0.2">
      <c r="A42" s="18" t="s">
        <v>68</v>
      </c>
      <c r="B42" s="108"/>
      <c r="C42" s="108">
        <v>-159460</v>
      </c>
      <c r="D42" s="108">
        <v>-159866</v>
      </c>
      <c r="E42" s="108"/>
      <c r="F42" s="108">
        <v>-99018</v>
      </c>
      <c r="G42" s="108">
        <v>-119613</v>
      </c>
      <c r="H42" s="108">
        <v>-76332</v>
      </c>
      <c r="I42" s="108">
        <v>-58098</v>
      </c>
      <c r="J42" s="108">
        <v>-151772</v>
      </c>
      <c r="K42" s="108">
        <v>-61939</v>
      </c>
      <c r="L42" s="378">
        <v>-43701</v>
      </c>
    </row>
    <row r="43" spans="1:12" s="5" customFormat="1" ht="25.5" x14ac:dyDescent="0.2">
      <c r="A43" s="17" t="s">
        <v>69</v>
      </c>
      <c r="B43" s="108">
        <v>-1582896</v>
      </c>
      <c r="C43" s="108">
        <v>-1585520</v>
      </c>
      <c r="D43" s="108">
        <v>-1136239</v>
      </c>
      <c r="E43" s="14"/>
      <c r="F43" s="7"/>
      <c r="G43" s="7"/>
      <c r="H43" s="108"/>
      <c r="I43" s="108"/>
      <c r="J43" s="108"/>
      <c r="K43" s="108"/>
      <c r="L43" s="378"/>
    </row>
    <row r="44" spans="1:12" s="5" customFormat="1" x14ac:dyDescent="0.2">
      <c r="A44" s="17" t="s">
        <v>257</v>
      </c>
      <c r="B44" s="108"/>
      <c r="C44" s="108"/>
      <c r="D44" s="108"/>
      <c r="E44" s="14"/>
      <c r="F44" s="7"/>
      <c r="G44" s="7"/>
      <c r="H44" s="108"/>
      <c r="I44" s="108"/>
      <c r="J44" s="108">
        <v>-3500</v>
      </c>
      <c r="K44" s="108">
        <v>13367045</v>
      </c>
      <c r="L44" s="378">
        <v>4014164</v>
      </c>
    </row>
    <row r="45" spans="1:12" s="5" customFormat="1" x14ac:dyDescent="0.2">
      <c r="A45" s="17" t="s">
        <v>271</v>
      </c>
      <c r="B45" s="108"/>
      <c r="C45" s="108"/>
      <c r="D45" s="108"/>
      <c r="E45" s="14"/>
      <c r="F45" s="7"/>
      <c r="G45" s="7"/>
      <c r="H45" s="108"/>
      <c r="I45" s="108"/>
      <c r="J45" s="108" t="s">
        <v>272</v>
      </c>
      <c r="K45" s="108">
        <v>-10620000</v>
      </c>
      <c r="L45" s="378" t="s">
        <v>270</v>
      </c>
    </row>
    <row r="46" spans="1:12" s="5" customFormat="1" x14ac:dyDescent="0.2">
      <c r="A46" s="17" t="s">
        <v>273</v>
      </c>
      <c r="B46" s="108"/>
      <c r="C46" s="108"/>
      <c r="D46" s="108"/>
      <c r="E46" s="14"/>
      <c r="F46" s="7"/>
      <c r="G46" s="7"/>
      <c r="H46" s="108"/>
      <c r="I46" s="108"/>
      <c r="J46" s="108"/>
      <c r="K46" s="108">
        <v>1221112</v>
      </c>
      <c r="L46" s="378" t="s">
        <v>270</v>
      </c>
    </row>
    <row r="47" spans="1:12" s="5" customFormat="1" x14ac:dyDescent="0.2">
      <c r="A47" s="18" t="s">
        <v>70</v>
      </c>
      <c r="B47" s="83">
        <v>29323</v>
      </c>
      <c r="C47" s="14">
        <v>19693</v>
      </c>
      <c r="D47" s="14">
        <v>34866</v>
      </c>
      <c r="E47" s="14">
        <v>3289</v>
      </c>
      <c r="F47" s="14">
        <v>43</v>
      </c>
      <c r="G47" s="4">
        <v>1480</v>
      </c>
      <c r="H47" s="108">
        <v>2039</v>
      </c>
      <c r="I47" s="108">
        <v>2161</v>
      </c>
      <c r="J47" s="108">
        <v>10447</v>
      </c>
      <c r="K47" s="108">
        <v>52</v>
      </c>
      <c r="L47" s="378">
        <v>31</v>
      </c>
    </row>
    <row r="48" spans="1:12" s="5" customFormat="1" x14ac:dyDescent="0.2">
      <c r="A48" s="18" t="s">
        <v>216</v>
      </c>
      <c r="B48" s="83"/>
      <c r="C48" s="14"/>
      <c r="D48" s="14"/>
      <c r="E48" s="14"/>
      <c r="F48" s="14"/>
      <c r="G48" s="4"/>
      <c r="H48" s="108">
        <v>-2266000</v>
      </c>
      <c r="I48" s="108">
        <v>-4018109</v>
      </c>
      <c r="J48" s="108">
        <v>-7372844</v>
      </c>
      <c r="K48" s="108">
        <v>-3577000</v>
      </c>
      <c r="L48" s="378" t="s">
        <v>270</v>
      </c>
    </row>
    <row r="49" spans="1:12" s="5" customFormat="1" ht="25.5" x14ac:dyDescent="0.2">
      <c r="A49" s="17" t="s">
        <v>71</v>
      </c>
      <c r="B49" s="83"/>
      <c r="C49" s="14"/>
      <c r="D49" s="108">
        <v>-794071</v>
      </c>
      <c r="E49" s="14"/>
      <c r="F49" s="7"/>
      <c r="G49" s="7"/>
      <c r="H49" s="108"/>
      <c r="I49" s="108"/>
      <c r="J49" s="108"/>
      <c r="K49" s="108"/>
      <c r="L49" s="378"/>
    </row>
    <row r="50" spans="1:12" s="5" customFormat="1" x14ac:dyDescent="0.2">
      <c r="A50" s="18" t="s">
        <v>72</v>
      </c>
      <c r="B50" s="83"/>
      <c r="C50" s="14"/>
      <c r="D50" s="108">
        <v>-40000</v>
      </c>
      <c r="E50" s="14"/>
      <c r="F50" s="7"/>
      <c r="G50" s="7"/>
      <c r="H50" s="108"/>
      <c r="I50" s="108"/>
      <c r="J50" s="108"/>
      <c r="K50" s="108"/>
      <c r="L50" s="378"/>
    </row>
    <row r="51" spans="1:12" s="5" customFormat="1" x14ac:dyDescent="0.2">
      <c r="A51" s="18" t="s">
        <v>73</v>
      </c>
      <c r="B51" s="83">
        <v>16960</v>
      </c>
      <c r="C51" s="14">
        <v>45188</v>
      </c>
      <c r="D51" s="14">
        <v>23992</v>
      </c>
      <c r="E51" s="14">
        <v>14625</v>
      </c>
      <c r="F51" s="14">
        <v>25085</v>
      </c>
      <c r="G51" s="7" t="s">
        <v>39</v>
      </c>
      <c r="H51" s="108"/>
      <c r="I51" s="108"/>
      <c r="J51" s="108"/>
      <c r="K51" s="108"/>
      <c r="L51" s="378"/>
    </row>
    <row r="52" spans="1:12" s="5" customFormat="1" x14ac:dyDescent="0.2">
      <c r="A52" s="18" t="s">
        <v>74</v>
      </c>
      <c r="B52" s="83">
        <v>6154</v>
      </c>
      <c r="C52" s="14">
        <v>61629</v>
      </c>
      <c r="D52" s="14">
        <v>354902</v>
      </c>
      <c r="E52" s="14">
        <v>35117</v>
      </c>
      <c r="F52" s="14">
        <v>72977</v>
      </c>
      <c r="G52" s="4"/>
      <c r="H52" s="108"/>
      <c r="I52" s="108"/>
      <c r="J52" s="108"/>
      <c r="K52" s="108"/>
      <c r="L52" s="378"/>
    </row>
    <row r="53" spans="1:12" s="1" customFormat="1" ht="26.25" thickBot="1" x14ac:dyDescent="0.25">
      <c r="A53" s="109" t="s">
        <v>75</v>
      </c>
      <c r="B53" s="160">
        <f t="shared" ref="B53:H53" si="4">SUM(B40:B52)</f>
        <v>-525389</v>
      </c>
      <c r="C53" s="160">
        <f t="shared" si="4"/>
        <v>-5187037</v>
      </c>
      <c r="D53" s="160">
        <f t="shared" si="4"/>
        <v>-11052684</v>
      </c>
      <c r="E53" s="160">
        <f t="shared" si="4"/>
        <v>-6282239</v>
      </c>
      <c r="F53" s="160">
        <f>SUM(F40:F52)</f>
        <v>-5169824</v>
      </c>
      <c r="G53" s="160">
        <f t="shared" si="4"/>
        <v>-11907179</v>
      </c>
      <c r="H53" s="160">
        <f t="shared" si="4"/>
        <v>-13615241</v>
      </c>
      <c r="I53" s="160">
        <f t="shared" ref="I53" si="5">SUM(I40:I52)</f>
        <v>-19615174</v>
      </c>
      <c r="J53" s="160">
        <f>SUM(J40:J52)</f>
        <v>-27474697</v>
      </c>
      <c r="K53" s="160">
        <f>SUM(K40:K52)</f>
        <v>-10336079</v>
      </c>
      <c r="L53" s="383">
        <v>-16745672</v>
      </c>
    </row>
    <row r="54" spans="1:12" s="3" customFormat="1" x14ac:dyDescent="0.2">
      <c r="A54" s="112" t="s">
        <v>76</v>
      </c>
      <c r="B54" s="85"/>
      <c r="C54" s="15"/>
      <c r="D54" s="15"/>
      <c r="E54" s="15"/>
      <c r="F54" s="11"/>
      <c r="G54" s="11"/>
      <c r="H54" s="108"/>
      <c r="I54" s="108"/>
      <c r="J54" s="108"/>
      <c r="K54" s="108"/>
      <c r="L54" s="378"/>
    </row>
    <row r="55" spans="1:12" s="5" customFormat="1" x14ac:dyDescent="0.2">
      <c r="A55" s="18" t="s">
        <v>78</v>
      </c>
      <c r="B55" s="83">
        <v>2917029</v>
      </c>
      <c r="C55" s="14">
        <v>10789716</v>
      </c>
      <c r="D55" s="14"/>
      <c r="E55" s="14">
        <v>3000000</v>
      </c>
      <c r="F55" s="14">
        <v>8561000</v>
      </c>
      <c r="G55" s="4">
        <v>15743400</v>
      </c>
      <c r="H55" s="108">
        <v>11237586</v>
      </c>
      <c r="I55" s="108">
        <v>18163095</v>
      </c>
      <c r="J55" s="108">
        <v>22682403</v>
      </c>
      <c r="K55" s="108">
        <v>2652499</v>
      </c>
      <c r="L55" s="378">
        <v>10217476</v>
      </c>
    </row>
    <row r="56" spans="1:12" s="5" customFormat="1" x14ac:dyDescent="0.2">
      <c r="A56" s="18" t="s">
        <v>217</v>
      </c>
      <c r="B56" s="108"/>
      <c r="C56" s="108"/>
      <c r="D56" s="108"/>
      <c r="E56" s="108"/>
      <c r="F56" s="108"/>
      <c r="G56" s="108" t="s">
        <v>39</v>
      </c>
      <c r="H56" s="108">
        <v>-55240</v>
      </c>
      <c r="I56" s="108">
        <v>-8278</v>
      </c>
      <c r="J56" s="108" t="s">
        <v>39</v>
      </c>
      <c r="K56" s="108"/>
      <c r="L56" s="378"/>
    </row>
    <row r="57" spans="1:12" s="5" customFormat="1" x14ac:dyDescent="0.2">
      <c r="A57" s="380" t="s">
        <v>219</v>
      </c>
      <c r="B57" s="381"/>
      <c r="C57" s="381">
        <v>-2999801</v>
      </c>
      <c r="D57" s="381"/>
      <c r="E57" s="381"/>
      <c r="F57" s="381">
        <v>-4900000</v>
      </c>
      <c r="G57" s="381">
        <v>-1280000</v>
      </c>
      <c r="H57" s="381" t="s">
        <v>39</v>
      </c>
      <c r="I57" s="381"/>
      <c r="J57" s="381"/>
      <c r="K57" s="108"/>
      <c r="L57" s="378"/>
    </row>
    <row r="58" spans="1:12" s="5" customFormat="1" x14ac:dyDescent="0.2">
      <c r="A58" s="18" t="s">
        <v>218</v>
      </c>
      <c r="B58" s="108"/>
      <c r="C58" s="108"/>
      <c r="D58" s="108"/>
      <c r="E58" s="108"/>
      <c r="F58" s="108"/>
      <c r="G58" s="108" t="s">
        <v>39</v>
      </c>
      <c r="H58" s="108">
        <v>2043618</v>
      </c>
      <c r="I58" s="108">
        <v>3000000</v>
      </c>
      <c r="J58" s="108">
        <v>173946</v>
      </c>
      <c r="K58" s="108">
        <v>32580257</v>
      </c>
      <c r="L58" s="378">
        <v>168365</v>
      </c>
    </row>
    <row r="59" spans="1:12" s="5" customFormat="1" ht="25.5" x14ac:dyDescent="0.2">
      <c r="A59" s="17" t="s">
        <v>77</v>
      </c>
      <c r="B59" s="83"/>
      <c r="C59" s="14">
        <v>3055681</v>
      </c>
      <c r="D59" s="108">
        <v>-10033</v>
      </c>
      <c r="E59" s="14"/>
      <c r="F59" s="7"/>
      <c r="G59" s="7"/>
      <c r="H59" s="108"/>
      <c r="I59" s="108"/>
      <c r="J59" s="108"/>
      <c r="K59" s="108"/>
      <c r="L59" s="378"/>
    </row>
    <row r="60" spans="1:12" s="5" customFormat="1" x14ac:dyDescent="0.2">
      <c r="A60" s="17" t="s">
        <v>224</v>
      </c>
      <c r="B60" s="83"/>
      <c r="C60" s="14"/>
      <c r="D60" s="108"/>
      <c r="E60" s="14"/>
      <c r="F60" s="108">
        <v>-3000000</v>
      </c>
      <c r="G60" s="108">
        <v>-1225000</v>
      </c>
      <c r="H60" s="108">
        <v>-4393000</v>
      </c>
      <c r="I60" s="108">
        <v>-407000</v>
      </c>
      <c r="J60" s="108">
        <v>-2500000</v>
      </c>
      <c r="K60" s="108">
        <v>-12525000</v>
      </c>
      <c r="L60" s="378">
        <v>-3138896</v>
      </c>
    </row>
    <row r="61" spans="1:12" s="5" customFormat="1" x14ac:dyDescent="0.2">
      <c r="A61" s="18" t="s">
        <v>258</v>
      </c>
      <c r="B61" s="108">
        <v>-2954622</v>
      </c>
      <c r="C61" s="108">
        <v>-1500000</v>
      </c>
      <c r="D61" s="108">
        <v>-22000</v>
      </c>
      <c r="E61" s="108"/>
      <c r="F61" s="108" t="s">
        <v>39</v>
      </c>
      <c r="G61" s="108">
        <v>-1000000</v>
      </c>
      <c r="H61" s="108">
        <v>-6000000</v>
      </c>
      <c r="I61" s="108">
        <v>-12181204</v>
      </c>
      <c r="J61" s="108">
        <v>-3813439</v>
      </c>
      <c r="K61" s="108">
        <v>-1400000</v>
      </c>
      <c r="L61" s="378">
        <v>-14000000</v>
      </c>
    </row>
    <row r="62" spans="1:12" s="5" customFormat="1" x14ac:dyDescent="0.2">
      <c r="A62" s="18" t="s">
        <v>85</v>
      </c>
      <c r="B62" s="83"/>
      <c r="C62" s="14"/>
      <c r="D62" s="14"/>
      <c r="E62" s="108">
        <v>-17385</v>
      </c>
      <c r="F62" s="14"/>
      <c r="G62" s="7"/>
      <c r="H62" s="108"/>
      <c r="I62" s="108"/>
      <c r="J62" s="108"/>
      <c r="K62" s="108"/>
      <c r="L62" s="378"/>
    </row>
    <row r="63" spans="1:12" s="5" customFormat="1" x14ac:dyDescent="0.2">
      <c r="A63" s="18" t="s">
        <v>79</v>
      </c>
      <c r="B63" s="108">
        <v>-298668</v>
      </c>
      <c r="C63" s="108">
        <v>-42397</v>
      </c>
      <c r="D63" s="108">
        <v>-91607</v>
      </c>
      <c r="E63" s="108">
        <v>-153961</v>
      </c>
      <c r="F63" s="108">
        <v>-325804</v>
      </c>
      <c r="G63" s="108">
        <v>-380861</v>
      </c>
      <c r="H63" s="108">
        <v>-141742</v>
      </c>
      <c r="I63" s="108">
        <v>-308583</v>
      </c>
      <c r="J63" s="108">
        <v>-106229</v>
      </c>
      <c r="K63" s="108" t="s">
        <v>270</v>
      </c>
      <c r="L63" s="378">
        <v>-514480</v>
      </c>
    </row>
    <row r="64" spans="1:12" s="5" customFormat="1" x14ac:dyDescent="0.2">
      <c r="A64" s="18" t="s">
        <v>80</v>
      </c>
      <c r="B64" s="108">
        <v>-6892</v>
      </c>
      <c r="C64" s="108">
        <v>-308364</v>
      </c>
      <c r="D64" s="108">
        <v>-1178371</v>
      </c>
      <c r="E64" s="108">
        <v>-1444830</v>
      </c>
      <c r="F64" s="108">
        <v>-1236574</v>
      </c>
      <c r="G64" s="108">
        <v>-1500454</v>
      </c>
      <c r="H64" s="108">
        <v>-447902</v>
      </c>
      <c r="I64" s="108">
        <v>-38728</v>
      </c>
      <c r="J64" s="108">
        <v>-16351</v>
      </c>
      <c r="K64" s="108">
        <v>-8282</v>
      </c>
      <c r="L64" s="378" t="s">
        <v>270</v>
      </c>
    </row>
    <row r="65" spans="1:12" s="1" customFormat="1" ht="26.25" thickBot="1" x14ac:dyDescent="0.25">
      <c r="A65" s="109" t="s">
        <v>259</v>
      </c>
      <c r="B65" s="160">
        <f t="shared" ref="B65:K65" si="6">SUM(B55:B64)</f>
        <v>-343153</v>
      </c>
      <c r="C65" s="160">
        <f t="shared" si="6"/>
        <v>8994835</v>
      </c>
      <c r="D65" s="160">
        <f t="shared" si="6"/>
        <v>-1302011</v>
      </c>
      <c r="E65" s="160">
        <f t="shared" si="6"/>
        <v>1383824</v>
      </c>
      <c r="F65" s="160">
        <f t="shared" si="6"/>
        <v>-901378</v>
      </c>
      <c r="G65" s="160">
        <f t="shared" si="6"/>
        <v>10357085</v>
      </c>
      <c r="H65" s="160">
        <f t="shared" si="6"/>
        <v>2243320</v>
      </c>
      <c r="I65" s="160">
        <f t="shared" si="6"/>
        <v>8219302</v>
      </c>
      <c r="J65" s="160">
        <f t="shared" si="6"/>
        <v>16420330</v>
      </c>
      <c r="K65" s="160">
        <f t="shared" si="6"/>
        <v>21299474</v>
      </c>
      <c r="L65" s="383">
        <v>-7267535</v>
      </c>
    </row>
    <row r="66" spans="1:12" s="5" customFormat="1" ht="15" customHeight="1" x14ac:dyDescent="0.2">
      <c r="A66" s="17" t="s">
        <v>260</v>
      </c>
      <c r="B66" s="161">
        <f t="shared" ref="B66:I66" si="7">B38+B53+B65</f>
        <v>537114</v>
      </c>
      <c r="C66" s="161">
        <f t="shared" si="7"/>
        <v>4820849</v>
      </c>
      <c r="D66" s="161">
        <f t="shared" si="7"/>
        <v>-3404228</v>
      </c>
      <c r="E66" s="161">
        <f t="shared" si="7"/>
        <v>449951</v>
      </c>
      <c r="F66" s="161">
        <f t="shared" si="7"/>
        <v>-2295733</v>
      </c>
      <c r="G66" s="161">
        <f t="shared" si="7"/>
        <v>6455470</v>
      </c>
      <c r="H66" s="161">
        <f t="shared" si="7"/>
        <v>-3594916</v>
      </c>
      <c r="I66" s="161">
        <f t="shared" si="7"/>
        <v>205833</v>
      </c>
      <c r="J66" s="161">
        <f>SUM(J65+J53+J38)</f>
        <v>-2207897</v>
      </c>
      <c r="K66" s="161">
        <f>SUM(K65+K53+K38)</f>
        <v>24634482</v>
      </c>
      <c r="L66" s="384">
        <v>-15777982</v>
      </c>
    </row>
    <row r="67" spans="1:12" s="5" customFormat="1" x14ac:dyDescent="0.2">
      <c r="A67" s="18" t="s">
        <v>81</v>
      </c>
      <c r="B67" s="83">
        <v>545115</v>
      </c>
      <c r="C67" s="14">
        <f>B68</f>
        <v>1082229</v>
      </c>
      <c r="D67" s="14">
        <f>C68</f>
        <v>5903078</v>
      </c>
      <c r="E67" s="14">
        <f>D68</f>
        <v>2498850</v>
      </c>
      <c r="F67" s="14">
        <f>E68</f>
        <v>2948801</v>
      </c>
      <c r="G67" s="14">
        <f>F68</f>
        <v>653068</v>
      </c>
      <c r="H67" s="14">
        <v>7108538</v>
      </c>
      <c r="I67" s="108">
        <v>3513622</v>
      </c>
      <c r="J67" s="108">
        <v>3719455</v>
      </c>
      <c r="K67" s="108">
        <v>1511558</v>
      </c>
      <c r="L67" s="378">
        <v>26146040</v>
      </c>
    </row>
    <row r="68" spans="1:12" s="1" customFormat="1" ht="13.5" thickBot="1" x14ac:dyDescent="0.25">
      <c r="A68" s="62" t="s">
        <v>82</v>
      </c>
      <c r="B68" s="159">
        <f t="shared" ref="B68:H68" si="8">B66+B67</f>
        <v>1082229</v>
      </c>
      <c r="C68" s="157">
        <f t="shared" si="8"/>
        <v>5903078</v>
      </c>
      <c r="D68" s="157">
        <f t="shared" si="8"/>
        <v>2498850</v>
      </c>
      <c r="E68" s="157">
        <f t="shared" si="8"/>
        <v>2948801</v>
      </c>
      <c r="F68" s="157">
        <f t="shared" si="8"/>
        <v>653068</v>
      </c>
      <c r="G68" s="157">
        <f t="shared" si="8"/>
        <v>7108538</v>
      </c>
      <c r="H68" s="157">
        <f t="shared" si="8"/>
        <v>3513622</v>
      </c>
      <c r="I68" s="157">
        <f t="shared" ref="I68" si="9">I66+I67</f>
        <v>3719455</v>
      </c>
      <c r="J68" s="157">
        <v>1511558</v>
      </c>
      <c r="K68" s="157" t="s">
        <v>269</v>
      </c>
      <c r="L68" s="379">
        <v>10368058</v>
      </c>
    </row>
    <row r="69" spans="1:12" x14ac:dyDescent="0.2">
      <c r="A69" s="18" t="s">
        <v>222</v>
      </c>
      <c r="B69" s="7"/>
      <c r="C69" s="7"/>
      <c r="D69" s="7"/>
      <c r="E69" s="7"/>
      <c r="F69" s="7"/>
    </row>
    <row r="70" spans="1:12" x14ac:dyDescent="0.2">
      <c r="B70" s="88"/>
      <c r="C70" s="88"/>
      <c r="D70" s="88"/>
      <c r="E70" s="88"/>
      <c r="F70" s="88"/>
    </row>
    <row r="71" spans="1:12" x14ac:dyDescent="0.2">
      <c r="B71" s="7"/>
      <c r="C71" s="7"/>
      <c r="D71" s="7"/>
      <c r="E71" s="7"/>
      <c r="F71" s="7"/>
    </row>
    <row r="72" spans="1:12" x14ac:dyDescent="0.2">
      <c r="B72" s="7"/>
      <c r="C72" s="7"/>
      <c r="D72" s="7"/>
      <c r="E72" s="7"/>
      <c r="F72" s="7"/>
    </row>
    <row r="73" spans="1:12" x14ac:dyDescent="0.2">
      <c r="B73" s="7"/>
      <c r="C73" s="7"/>
      <c r="D73" s="7"/>
      <c r="E73" s="7"/>
      <c r="F73" s="4"/>
    </row>
    <row r="74" spans="1:12" x14ac:dyDescent="0.2">
      <c r="B74" s="7"/>
      <c r="C74" s="7"/>
      <c r="D74" s="7"/>
      <c r="E74" s="7"/>
      <c r="F74" s="7"/>
    </row>
    <row r="75" spans="1:12" x14ac:dyDescent="0.2">
      <c r="B75" s="7"/>
      <c r="C75" s="7"/>
      <c r="D75" s="7"/>
      <c r="E75" s="7"/>
      <c r="F75" s="7"/>
    </row>
    <row r="76" spans="1:12" x14ac:dyDescent="0.2">
      <c r="B76" s="7"/>
      <c r="C76" s="7"/>
      <c r="D76" s="7"/>
      <c r="E76" s="7"/>
      <c r="F76" s="7"/>
    </row>
    <row r="77" spans="1:12" x14ac:dyDescent="0.2">
      <c r="B77" s="7"/>
      <c r="C77" s="7"/>
      <c r="D77" s="7"/>
      <c r="E77" s="7"/>
      <c r="F77" s="7"/>
    </row>
    <row r="78" spans="1:12" x14ac:dyDescent="0.2">
      <c r="B78" s="7"/>
      <c r="C78" s="7"/>
      <c r="D78" s="7"/>
      <c r="E78" s="7"/>
      <c r="F78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53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RowHeight="12.75" x14ac:dyDescent="0.2"/>
  <cols>
    <col min="1" max="1" width="54" style="121" bestFit="1" customWidth="1"/>
    <col min="2" max="2" width="9.140625" style="122"/>
    <col min="3" max="8" width="10.42578125" style="122" bestFit="1" customWidth="1"/>
    <col min="9" max="9" width="11.42578125" style="122" bestFit="1" customWidth="1"/>
    <col min="10" max="13" width="9.140625" style="122"/>
    <col min="14" max="16384" width="9.140625" style="9"/>
  </cols>
  <sheetData>
    <row r="1" spans="1:13" x14ac:dyDescent="0.2">
      <c r="A1" s="113" t="s">
        <v>274</v>
      </c>
      <c r="B1" s="114"/>
      <c r="C1" s="114"/>
      <c r="D1" s="114"/>
      <c r="E1" s="114"/>
      <c r="F1" s="114"/>
      <c r="G1" s="114"/>
      <c r="H1" s="114"/>
      <c r="I1" s="123"/>
      <c r="J1" s="123"/>
      <c r="K1" s="123"/>
      <c r="L1" s="123"/>
      <c r="M1" s="123"/>
    </row>
    <row r="3" spans="1:13" s="22" customFormat="1" x14ac:dyDescent="0.2">
      <c r="A3" s="115" t="s">
        <v>106</v>
      </c>
      <c r="B3" s="124" t="s">
        <v>94</v>
      </c>
      <c r="C3" s="115">
        <v>2006</v>
      </c>
      <c r="D3" s="115">
        <v>2007</v>
      </c>
      <c r="E3" s="115">
        <v>2008</v>
      </c>
      <c r="F3" s="115">
        <v>2009</v>
      </c>
      <c r="G3" s="115">
        <v>2010</v>
      </c>
      <c r="H3" s="176">
        <v>2011</v>
      </c>
      <c r="I3" s="176">
        <v>2012</v>
      </c>
      <c r="J3" s="176">
        <v>2013</v>
      </c>
      <c r="K3" s="176">
        <v>2014</v>
      </c>
      <c r="L3" s="176">
        <v>2015</v>
      </c>
      <c r="M3" s="280">
        <v>2016</v>
      </c>
    </row>
    <row r="4" spans="1:13" s="7" customFormat="1" x14ac:dyDescent="0.2">
      <c r="A4" s="116" t="s">
        <v>117</v>
      </c>
      <c r="B4" s="117" t="s">
        <v>97</v>
      </c>
      <c r="C4" s="118">
        <v>18013</v>
      </c>
      <c r="D4" s="118">
        <v>18672.5</v>
      </c>
      <c r="E4" s="118">
        <v>19358.5</v>
      </c>
      <c r="F4" s="118">
        <v>19901.400000000001</v>
      </c>
      <c r="G4" s="118">
        <v>20740.5</v>
      </c>
      <c r="H4" s="118">
        <v>21427</v>
      </c>
      <c r="I4" s="118">
        <v>21952.215</v>
      </c>
      <c r="J4" s="118">
        <v>23059</v>
      </c>
      <c r="K4" s="118">
        <v>23951</v>
      </c>
      <c r="L4" s="118">
        <v>24320.799999999999</v>
      </c>
      <c r="M4" s="418">
        <v>24977</v>
      </c>
    </row>
    <row r="5" spans="1:13" s="7" customFormat="1" x14ac:dyDescent="0.2">
      <c r="A5" s="116" t="s">
        <v>118</v>
      </c>
      <c r="B5" s="117" t="s">
        <v>119</v>
      </c>
      <c r="C5" s="118">
        <v>35622.494999999995</v>
      </c>
      <c r="D5" s="118">
        <v>35809.5</v>
      </c>
      <c r="E5" s="118">
        <v>35966.5</v>
      </c>
      <c r="F5" s="118">
        <v>36148.199999999997</v>
      </c>
      <c r="G5" s="118">
        <v>36273.629999999997</v>
      </c>
      <c r="H5" s="118">
        <v>36587</v>
      </c>
      <c r="I5" s="118">
        <v>36858.693000000007</v>
      </c>
      <c r="J5" s="118">
        <v>37214</v>
      </c>
      <c r="K5" s="118">
        <v>38396</v>
      </c>
      <c r="L5" s="118">
        <v>38945.4</v>
      </c>
      <c r="M5" s="418">
        <v>40053</v>
      </c>
    </row>
    <row r="6" spans="1:13" s="7" customFormat="1" x14ac:dyDescent="0.2">
      <c r="A6" s="116" t="s">
        <v>120</v>
      </c>
      <c r="B6" s="117" t="s">
        <v>119</v>
      </c>
      <c r="C6" s="118">
        <v>38537.300000000003</v>
      </c>
      <c r="D6" s="118">
        <v>38841.4</v>
      </c>
      <c r="E6" s="118">
        <v>39084.6</v>
      </c>
      <c r="F6" s="118">
        <v>39285.9</v>
      </c>
      <c r="G6" s="118">
        <v>39418.800000000003</v>
      </c>
      <c r="H6" s="118">
        <v>39783</v>
      </c>
      <c r="I6" s="118">
        <v>40052.838999999993</v>
      </c>
      <c r="J6" s="118">
        <v>40408</v>
      </c>
      <c r="K6" s="118">
        <v>41835</v>
      </c>
      <c r="L6" s="118">
        <v>42181.2</v>
      </c>
      <c r="M6" s="418">
        <v>43348</v>
      </c>
    </row>
    <row r="7" spans="1:13" s="7" customFormat="1" x14ac:dyDescent="0.2">
      <c r="A7" s="116" t="s">
        <v>121</v>
      </c>
      <c r="B7" s="117" t="s">
        <v>119</v>
      </c>
      <c r="C7" s="118">
        <v>16026.375</v>
      </c>
      <c r="D7" s="118">
        <v>16338.3</v>
      </c>
      <c r="E7" s="118">
        <v>16730.900000000001</v>
      </c>
      <c r="F7" s="118">
        <v>17650.7</v>
      </c>
      <c r="G7" s="118">
        <v>18622.3</v>
      </c>
      <c r="H7" s="118">
        <v>19554</v>
      </c>
      <c r="I7" s="118">
        <v>20400.21</v>
      </c>
      <c r="J7" s="118">
        <v>21259</v>
      </c>
      <c r="K7" s="118">
        <v>21557</v>
      </c>
      <c r="L7" s="118">
        <v>22160.5</v>
      </c>
      <c r="M7" s="418">
        <v>22498</v>
      </c>
    </row>
    <row r="8" spans="1:13" s="7" customFormat="1" x14ac:dyDescent="0.2">
      <c r="A8" s="116" t="s">
        <v>122</v>
      </c>
      <c r="B8" s="117" t="s">
        <v>123</v>
      </c>
      <c r="C8" s="118">
        <v>362</v>
      </c>
      <c r="D8" s="118">
        <v>367</v>
      </c>
      <c r="E8" s="118">
        <v>368</v>
      </c>
      <c r="F8" s="118">
        <v>370</v>
      </c>
      <c r="G8" s="118">
        <v>372</v>
      </c>
      <c r="H8" s="118">
        <v>373</v>
      </c>
      <c r="I8" s="118">
        <v>377</v>
      </c>
      <c r="J8" s="118">
        <v>379</v>
      </c>
      <c r="K8" s="118">
        <v>379</v>
      </c>
      <c r="L8" s="118">
        <v>386</v>
      </c>
      <c r="M8" s="418">
        <v>386</v>
      </c>
    </row>
    <row r="9" spans="1:13" s="7" customFormat="1" x14ac:dyDescent="0.2">
      <c r="A9" s="126" t="s">
        <v>124</v>
      </c>
      <c r="B9" s="127" t="s">
        <v>97</v>
      </c>
      <c r="C9" s="128">
        <v>11550</v>
      </c>
      <c r="D9" s="128">
        <v>12186.5</v>
      </c>
      <c r="E9" s="128">
        <f>2101+10717</f>
        <v>12818</v>
      </c>
      <c r="F9" s="128">
        <f>2123.1+10960.7</f>
        <v>13083.800000000001</v>
      </c>
      <c r="G9" s="128">
        <f>2107.9+11357.6</f>
        <v>13465.5</v>
      </c>
      <c r="H9" s="128">
        <v>13742</v>
      </c>
      <c r="I9" s="118">
        <v>13968.900000000001</v>
      </c>
      <c r="J9" s="118">
        <v>14570</v>
      </c>
      <c r="K9" s="118">
        <v>14692</v>
      </c>
      <c r="L9" s="118">
        <v>14893.8</v>
      </c>
      <c r="M9" s="418">
        <v>15168</v>
      </c>
    </row>
    <row r="10" spans="1:13" s="7" customFormat="1" x14ac:dyDescent="0.2">
      <c r="A10" s="116" t="s">
        <v>125</v>
      </c>
      <c r="B10" s="117" t="s">
        <v>123</v>
      </c>
      <c r="C10" s="118">
        <v>13351</v>
      </c>
      <c r="D10" s="118">
        <v>13452</v>
      </c>
      <c r="E10" s="118">
        <v>13646</v>
      </c>
      <c r="F10" s="118">
        <v>13309</v>
      </c>
      <c r="G10" s="118">
        <v>14361</v>
      </c>
      <c r="H10" s="118">
        <v>14770</v>
      </c>
      <c r="I10" s="118">
        <v>15025</v>
      </c>
      <c r="J10" s="118">
        <v>15531</v>
      </c>
      <c r="K10" s="118">
        <v>16233</v>
      </c>
      <c r="L10" s="118">
        <v>16564</v>
      </c>
      <c r="M10" s="418">
        <v>17765</v>
      </c>
    </row>
    <row r="11" spans="1:13" s="10" customFormat="1" ht="13.5" thickBot="1" x14ac:dyDescent="0.25">
      <c r="A11" s="129" t="s">
        <v>126</v>
      </c>
      <c r="B11" s="130" t="s">
        <v>97</v>
      </c>
      <c r="C11" s="131">
        <v>6463.02</v>
      </c>
      <c r="D11" s="131">
        <v>6485.74</v>
      </c>
      <c r="E11" s="131">
        <v>6540.6</v>
      </c>
      <c r="F11" s="131">
        <v>6817.6</v>
      </c>
      <c r="G11" s="131">
        <v>7275</v>
      </c>
      <c r="H11" s="131">
        <v>7686</v>
      </c>
      <c r="I11" s="131">
        <v>7983.3149999999987</v>
      </c>
      <c r="J11" s="131">
        <v>8490</v>
      </c>
      <c r="K11" s="131">
        <v>9259</v>
      </c>
      <c r="L11" s="131">
        <v>9427</v>
      </c>
      <c r="M11" s="420">
        <v>9810</v>
      </c>
    </row>
    <row r="13" spans="1:13" x14ac:dyDescent="0.2">
      <c r="A13" s="113" t="s">
        <v>130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5" spans="1:13" s="22" customFormat="1" x14ac:dyDescent="0.2">
      <c r="A15" s="309" t="s">
        <v>106</v>
      </c>
      <c r="B15" s="309" t="s">
        <v>94</v>
      </c>
      <c r="C15" s="308">
        <v>2006</v>
      </c>
      <c r="D15" s="308">
        <v>2007</v>
      </c>
      <c r="E15" s="308">
        <v>2008</v>
      </c>
      <c r="F15" s="308">
        <v>2009</v>
      </c>
      <c r="G15" s="308">
        <v>2010</v>
      </c>
      <c r="H15" s="308">
        <v>2011</v>
      </c>
      <c r="I15" s="308">
        <v>2012</v>
      </c>
      <c r="J15" s="176">
        <v>2013</v>
      </c>
      <c r="K15" s="176">
        <v>2014</v>
      </c>
      <c r="L15" s="176">
        <v>2015</v>
      </c>
      <c r="M15" s="280">
        <v>2016</v>
      </c>
    </row>
    <row r="16" spans="1:13" s="7" customFormat="1" x14ac:dyDescent="0.2">
      <c r="A16" s="116" t="s">
        <v>89</v>
      </c>
      <c r="B16" s="117" t="s">
        <v>112</v>
      </c>
      <c r="C16" s="118">
        <v>77773.600000000006</v>
      </c>
      <c r="D16" s="118">
        <v>78391</v>
      </c>
      <c r="E16" s="118">
        <v>79594.399999999994</v>
      </c>
      <c r="F16" s="118">
        <v>82275</v>
      </c>
      <c r="G16" s="118">
        <v>83640.3</v>
      </c>
      <c r="H16" s="118">
        <v>85963</v>
      </c>
      <c r="I16" s="118">
        <v>87352.199999999983</v>
      </c>
      <c r="J16" s="118">
        <v>89990.3</v>
      </c>
      <c r="K16" s="118">
        <v>90524</v>
      </c>
      <c r="L16" s="118">
        <v>93642</v>
      </c>
      <c r="M16" s="418">
        <v>94252</v>
      </c>
    </row>
    <row r="17" spans="1:13" s="7" customFormat="1" x14ac:dyDescent="0.2">
      <c r="A17" s="116" t="s">
        <v>90</v>
      </c>
      <c r="B17" s="117" t="s">
        <v>112</v>
      </c>
      <c r="C17" s="118">
        <v>135419.5</v>
      </c>
      <c r="D17" s="118">
        <v>137197.5</v>
      </c>
      <c r="E17" s="118">
        <v>139965.5</v>
      </c>
      <c r="F17" s="118">
        <v>150803</v>
      </c>
      <c r="G17" s="118">
        <v>156362.29999999999</v>
      </c>
      <c r="H17" s="118">
        <v>168927</v>
      </c>
      <c r="I17" s="118">
        <v>175633.69999999995</v>
      </c>
      <c r="J17" s="118">
        <v>185679</v>
      </c>
      <c r="K17" s="118">
        <v>197438</v>
      </c>
      <c r="L17" s="118">
        <v>203697</v>
      </c>
      <c r="M17" s="418">
        <v>214252</v>
      </c>
    </row>
    <row r="18" spans="1:13" s="7" customFormat="1" x14ac:dyDescent="0.2">
      <c r="A18" s="116" t="s">
        <v>107</v>
      </c>
      <c r="B18" s="117" t="s">
        <v>112</v>
      </c>
      <c r="C18" s="118">
        <v>38553.4</v>
      </c>
      <c r="D18" s="118">
        <v>38297.169099999999</v>
      </c>
      <c r="E18" s="118">
        <v>38537.800000000003</v>
      </c>
      <c r="F18" s="118">
        <v>38781</v>
      </c>
      <c r="G18" s="118">
        <v>39062.9</v>
      </c>
      <c r="H18" s="118">
        <v>39585</v>
      </c>
      <c r="I18" s="118">
        <v>39986.45830000002</v>
      </c>
      <c r="J18" s="118">
        <v>40766</v>
      </c>
      <c r="K18" s="118">
        <v>43025</v>
      </c>
      <c r="L18" s="118">
        <v>44012</v>
      </c>
      <c r="M18" s="418">
        <v>45869</v>
      </c>
    </row>
    <row r="19" spans="1:13" s="7" customFormat="1" x14ac:dyDescent="0.2">
      <c r="A19" s="116" t="s">
        <v>108</v>
      </c>
      <c r="B19" s="117" t="s">
        <v>112</v>
      </c>
      <c r="C19" s="118">
        <v>10827.5</v>
      </c>
      <c r="D19" s="118">
        <v>10833.9077</v>
      </c>
      <c r="E19" s="118">
        <v>10850.4</v>
      </c>
      <c r="F19" s="118">
        <v>10882</v>
      </c>
      <c r="G19" s="118">
        <v>10886.1</v>
      </c>
      <c r="H19" s="118">
        <v>11077</v>
      </c>
      <c r="I19" s="118">
        <v>11085.060600000001</v>
      </c>
      <c r="J19" s="118">
        <v>11096</v>
      </c>
      <c r="K19" s="118">
        <v>11219</v>
      </c>
      <c r="L19" s="118">
        <v>11276</v>
      </c>
      <c r="M19" s="418">
        <v>11358</v>
      </c>
    </row>
    <row r="20" spans="1:13" s="7" customFormat="1" x14ac:dyDescent="0.2">
      <c r="A20" s="116" t="s">
        <v>91</v>
      </c>
      <c r="B20" s="117" t="s">
        <v>112</v>
      </c>
      <c r="C20" s="118">
        <v>54753</v>
      </c>
      <c r="D20" s="118">
        <v>56699.3</v>
      </c>
      <c r="E20" s="118">
        <v>57383.96</v>
      </c>
      <c r="F20" s="118">
        <v>60859</v>
      </c>
      <c r="G20" s="118">
        <v>64120.9</v>
      </c>
      <c r="H20" s="118">
        <v>67291</v>
      </c>
      <c r="I20" s="118">
        <v>70334.29800000001</v>
      </c>
      <c r="J20" s="118">
        <v>73835</v>
      </c>
      <c r="K20" s="118">
        <v>75221</v>
      </c>
      <c r="L20" s="118">
        <v>77545</v>
      </c>
      <c r="M20" s="418">
        <v>78848</v>
      </c>
    </row>
    <row r="21" spans="1:13" s="10" customFormat="1" ht="13.5" thickBot="1" x14ac:dyDescent="0.25">
      <c r="A21" s="119" t="s">
        <v>92</v>
      </c>
      <c r="B21" s="120" t="s">
        <v>109</v>
      </c>
      <c r="C21" s="165">
        <f t="shared" ref="C21:F21" si="0">SUM(C16:C20)</f>
        <v>317327</v>
      </c>
      <c r="D21" s="165">
        <f t="shared" si="0"/>
        <v>321418.87679999997</v>
      </c>
      <c r="E21" s="165">
        <f t="shared" si="0"/>
        <v>326332.06000000006</v>
      </c>
      <c r="F21" s="165">
        <f t="shared" si="0"/>
        <v>343600</v>
      </c>
      <c r="G21" s="165">
        <f>SUM(G16:G20)</f>
        <v>354072.5</v>
      </c>
      <c r="H21" s="165">
        <v>372843</v>
      </c>
      <c r="I21" s="165">
        <v>384391.71689999994</v>
      </c>
      <c r="J21" s="165">
        <v>401366.3</v>
      </c>
      <c r="K21" s="165">
        <v>417428</v>
      </c>
      <c r="L21" s="165">
        <v>430172</v>
      </c>
      <c r="M21" s="419">
        <v>444580</v>
      </c>
    </row>
    <row r="23" spans="1:13" x14ac:dyDescent="0.2">
      <c r="A23" s="121" t="s">
        <v>110</v>
      </c>
    </row>
    <row r="25" spans="1:13" x14ac:dyDescent="0.2">
      <c r="A25" s="113" t="s">
        <v>131</v>
      </c>
      <c r="B25" s="114"/>
      <c r="C25" s="114"/>
      <c r="D25" s="114"/>
      <c r="E25" s="114"/>
      <c r="F25" s="114"/>
      <c r="G25" s="114"/>
      <c r="H25" s="123"/>
      <c r="I25" s="123"/>
      <c r="J25" s="123"/>
      <c r="K25" s="123"/>
      <c r="L25" s="123"/>
      <c r="M25" s="123"/>
    </row>
    <row r="27" spans="1:13" s="22" customFormat="1" x14ac:dyDescent="0.2">
      <c r="A27" s="176" t="s">
        <v>106</v>
      </c>
      <c r="B27" s="237" t="s">
        <v>94</v>
      </c>
      <c r="C27" s="176">
        <v>2006</v>
      </c>
      <c r="D27" s="176">
        <v>2007</v>
      </c>
      <c r="E27" s="176">
        <v>2008</v>
      </c>
      <c r="F27" s="176">
        <v>2009</v>
      </c>
      <c r="G27" s="176">
        <v>2010</v>
      </c>
      <c r="H27" s="294">
        <v>2011</v>
      </c>
      <c r="I27" s="313">
        <v>2012</v>
      </c>
      <c r="J27" s="313">
        <v>2013</v>
      </c>
      <c r="K27" s="313">
        <v>2014</v>
      </c>
      <c r="L27" s="313">
        <v>2015</v>
      </c>
      <c r="M27" s="417">
        <v>2016</v>
      </c>
    </row>
    <row r="28" spans="1:13" s="7" customFormat="1" x14ac:dyDescent="0.2">
      <c r="A28" s="116" t="s">
        <v>111</v>
      </c>
      <c r="B28" s="117" t="s">
        <v>112</v>
      </c>
      <c r="C28" s="118">
        <v>41018.199999999997</v>
      </c>
      <c r="D28" s="118">
        <v>41739.699999999997</v>
      </c>
      <c r="E28" s="118">
        <v>43359.1</v>
      </c>
      <c r="F28" s="118">
        <v>44711.7</v>
      </c>
      <c r="G28" s="118">
        <v>45105.9</v>
      </c>
      <c r="H28" s="118">
        <v>45925</v>
      </c>
      <c r="I28" s="118">
        <v>45982.903599999998</v>
      </c>
      <c r="J28" s="118">
        <v>48136.5</v>
      </c>
      <c r="K28" s="118">
        <v>48042</v>
      </c>
      <c r="L28" s="118">
        <v>49033</v>
      </c>
      <c r="M28" s="418">
        <v>49256</v>
      </c>
    </row>
    <row r="29" spans="1:13" s="7" customFormat="1" x14ac:dyDescent="0.2">
      <c r="A29" s="116" t="s">
        <v>93</v>
      </c>
      <c r="B29" s="117" t="s">
        <v>112</v>
      </c>
      <c r="C29" s="118">
        <v>25534.89</v>
      </c>
      <c r="D29" s="118">
        <v>25550.7</v>
      </c>
      <c r="E29" s="118">
        <v>25608.14</v>
      </c>
      <c r="F29" s="118">
        <v>25466.5</v>
      </c>
      <c r="G29" s="118">
        <v>25465.9</v>
      </c>
      <c r="H29" s="118">
        <v>25596</v>
      </c>
      <c r="I29" s="118">
        <v>26033.777000000002</v>
      </c>
      <c r="J29" s="118">
        <v>25874.400000000001</v>
      </c>
      <c r="K29" s="118">
        <v>25962</v>
      </c>
      <c r="L29" s="118">
        <v>26656</v>
      </c>
      <c r="M29" s="418">
        <v>26734</v>
      </c>
    </row>
    <row r="30" spans="1:13" s="7" customFormat="1" x14ac:dyDescent="0.2">
      <c r="A30" s="116" t="s">
        <v>113</v>
      </c>
      <c r="B30" s="117" t="s">
        <v>112</v>
      </c>
      <c r="C30" s="118">
        <v>216824.1</v>
      </c>
      <c r="D30" s="118">
        <v>220155.7</v>
      </c>
      <c r="E30" s="118">
        <v>223259.6</v>
      </c>
      <c r="F30" s="118">
        <v>239278.4</v>
      </c>
      <c r="G30" s="118">
        <v>248692.3</v>
      </c>
      <c r="H30" s="118">
        <v>265321</v>
      </c>
      <c r="I30" s="118">
        <v>276057.18729999999</v>
      </c>
      <c r="J30" s="118">
        <v>290237</v>
      </c>
      <c r="K30" s="118">
        <v>304465</v>
      </c>
      <c r="L30" s="118">
        <v>313933</v>
      </c>
      <c r="M30" s="418">
        <v>326434</v>
      </c>
    </row>
    <row r="31" spans="1:13" s="7" customFormat="1" x14ac:dyDescent="0.2">
      <c r="A31" s="116" t="s">
        <v>114</v>
      </c>
      <c r="B31" s="117" t="s">
        <v>112</v>
      </c>
      <c r="C31" s="118">
        <v>33949.9</v>
      </c>
      <c r="D31" s="118">
        <v>33972.699999999997</v>
      </c>
      <c r="E31" s="118">
        <v>34105.199999999997</v>
      </c>
      <c r="F31" s="118">
        <v>34143.599999999999</v>
      </c>
      <c r="G31" s="118">
        <v>34808.400000000001</v>
      </c>
      <c r="H31" s="118">
        <v>36001</v>
      </c>
      <c r="I31" s="118">
        <v>36317.849000000002</v>
      </c>
      <c r="J31" s="118">
        <v>37118.400000000001</v>
      </c>
      <c r="K31" s="118">
        <v>38959</v>
      </c>
      <c r="L31" s="118">
        <v>40550</v>
      </c>
      <c r="M31" s="418">
        <v>42156</v>
      </c>
    </row>
    <row r="32" spans="1:13" s="10" customFormat="1" ht="13.5" thickBot="1" x14ac:dyDescent="0.25">
      <c r="A32" s="119" t="s">
        <v>92</v>
      </c>
      <c r="B32" s="120" t="s">
        <v>109</v>
      </c>
      <c r="C32" s="165">
        <f>SUM(C28:C31)</f>
        <v>317327.09000000003</v>
      </c>
      <c r="D32" s="165">
        <f>SUM(D28:D31)</f>
        <v>321418.8</v>
      </c>
      <c r="E32" s="165">
        <f>SUM(E28:E31)</f>
        <v>326332.03999999998</v>
      </c>
      <c r="F32" s="165">
        <f>SUM(F28:F31)</f>
        <v>343600.19999999995</v>
      </c>
      <c r="G32" s="165">
        <f>SUM(G28:G31)</f>
        <v>354072.5</v>
      </c>
      <c r="H32" s="165">
        <v>372843</v>
      </c>
      <c r="I32" s="165">
        <v>384391.71689999994</v>
      </c>
      <c r="J32" s="165">
        <v>401366.30000000005</v>
      </c>
      <c r="K32" s="165">
        <v>417428</v>
      </c>
      <c r="L32" s="165">
        <v>430172</v>
      </c>
      <c r="M32" s="419">
        <v>444580</v>
      </c>
    </row>
    <row r="33" spans="1:13" x14ac:dyDescent="0.2">
      <c r="A33" s="121" t="s">
        <v>110</v>
      </c>
      <c r="D33" s="125"/>
      <c r="F33" s="125"/>
      <c r="H33" s="125"/>
      <c r="J33" s="125"/>
      <c r="K33" s="125"/>
      <c r="L33" s="125"/>
      <c r="M33" s="125"/>
    </row>
    <row r="34" spans="1:13" x14ac:dyDescent="0.2">
      <c r="A34" s="121" t="s">
        <v>115</v>
      </c>
    </row>
    <row r="35" spans="1:13" x14ac:dyDescent="0.2">
      <c r="A35" s="121" t="s">
        <v>116</v>
      </c>
    </row>
    <row r="51" spans="4:5" x14ac:dyDescent="0.2">
      <c r="D51" s="132"/>
      <c r="E51" s="132"/>
    </row>
    <row r="52" spans="4:5" x14ac:dyDescent="0.2">
      <c r="D52" s="132"/>
      <c r="E52" s="132"/>
    </row>
    <row r="53" spans="4:5" x14ac:dyDescent="0.2">
      <c r="D53" s="132"/>
      <c r="E53" s="13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ignoredErrors>
    <ignoredError sqref="C32:G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RowHeight="12.75" x14ac:dyDescent="0.2"/>
  <cols>
    <col min="1" max="1" width="37" style="67" bestFit="1" customWidth="1"/>
    <col min="2" max="2" width="6.42578125" style="59" bestFit="1" customWidth="1"/>
    <col min="3" max="6" width="7.85546875" style="8" bestFit="1" customWidth="1"/>
    <col min="7" max="7" width="9.28515625" style="8" bestFit="1" customWidth="1"/>
    <col min="8" max="8" width="9.42578125" style="9" bestFit="1" customWidth="1"/>
    <col min="9" max="10" width="9.42578125" style="8" customWidth="1"/>
    <col min="11" max="11" width="10.42578125" style="9" customWidth="1"/>
    <col min="12" max="12" width="10.42578125" style="8" customWidth="1"/>
    <col min="13" max="16384" width="9.140625" style="8"/>
  </cols>
  <sheetData>
    <row r="1" spans="1:12" x14ac:dyDescent="0.2">
      <c r="G1" s="21"/>
    </row>
    <row r="2" spans="1:12" s="22" customFormat="1" x14ac:dyDescent="0.2">
      <c r="A2" s="274" t="s">
        <v>127</v>
      </c>
      <c r="B2" s="63">
        <v>2006</v>
      </c>
      <c r="C2" s="28">
        <v>2007</v>
      </c>
      <c r="D2" s="28">
        <v>2008</v>
      </c>
      <c r="E2" s="28">
        <v>2009</v>
      </c>
      <c r="F2" s="28">
        <v>2010</v>
      </c>
      <c r="G2" s="28">
        <v>2011</v>
      </c>
      <c r="H2" s="28">
        <v>2012</v>
      </c>
      <c r="I2" s="28">
        <v>2013</v>
      </c>
      <c r="J2" s="28">
        <v>2014</v>
      </c>
      <c r="K2" s="28">
        <v>2015</v>
      </c>
      <c r="L2" s="275">
        <v>2016</v>
      </c>
    </row>
    <row r="3" spans="1:12" s="7" customFormat="1" x14ac:dyDescent="0.2">
      <c r="A3" s="29" t="s">
        <v>289</v>
      </c>
      <c r="B3" s="64">
        <v>29543.052064</v>
      </c>
      <c r="C3" s="36">
        <f>C4+C5</f>
        <v>30630.739487294672</v>
      </c>
      <c r="D3" s="36">
        <f>D4+D5</f>
        <v>32353.910927260004</v>
      </c>
      <c r="E3" s="36">
        <f>E4+E5</f>
        <v>31702.955322299997</v>
      </c>
      <c r="F3" s="36">
        <f>F4+F5</f>
        <v>33495.551894136297</v>
      </c>
      <c r="G3" s="36">
        <f>SUM(G4:G5)</f>
        <v>33460</v>
      </c>
      <c r="H3" s="36">
        <f>SUM(H4:H5)</f>
        <v>34514</v>
      </c>
      <c r="I3" s="36">
        <f>SUM(I4:I5)</f>
        <v>33945</v>
      </c>
      <c r="J3" s="36">
        <v>33247.5888042445</v>
      </c>
      <c r="K3" s="36">
        <v>33401.175139999999</v>
      </c>
      <c r="L3" s="276">
        <v>34160</v>
      </c>
    </row>
    <row r="4" spans="1:12" s="7" customFormat="1" x14ac:dyDescent="0.2">
      <c r="A4" s="29" t="s">
        <v>87</v>
      </c>
      <c r="B4" s="64">
        <v>19203.374962999998</v>
      </c>
      <c r="C4" s="36">
        <f t="shared" ref="C4:F5" si="0">C9+C14</f>
        <v>19882.124534915361</v>
      </c>
      <c r="D4" s="36">
        <f t="shared" si="0"/>
        <v>20311.737702000002</v>
      </c>
      <c r="E4" s="36">
        <f t="shared" si="0"/>
        <v>20222.357252999998</v>
      </c>
      <c r="F4" s="36">
        <f t="shared" si="0"/>
        <v>21244.024094398999</v>
      </c>
      <c r="G4" s="36">
        <v>21297</v>
      </c>
      <c r="H4" s="36">
        <v>21811</v>
      </c>
      <c r="I4" s="36">
        <v>21730</v>
      </c>
      <c r="J4" s="36">
        <v>20982.438778926</v>
      </c>
      <c r="K4" s="36">
        <v>20960.644700845995</v>
      </c>
      <c r="L4" s="276">
        <v>21484</v>
      </c>
    </row>
    <row r="5" spans="1:12" s="10" customFormat="1" ht="13.5" thickBot="1" x14ac:dyDescent="0.25">
      <c r="A5" s="30" t="s">
        <v>88</v>
      </c>
      <c r="B5" s="65">
        <v>10339.677101000001</v>
      </c>
      <c r="C5" s="37">
        <f t="shared" si="0"/>
        <v>10748.61495237931</v>
      </c>
      <c r="D5" s="37">
        <f t="shared" si="0"/>
        <v>12042.17322526</v>
      </c>
      <c r="E5" s="37">
        <f t="shared" si="0"/>
        <v>11480.5980693</v>
      </c>
      <c r="F5" s="37">
        <f t="shared" si="0"/>
        <v>12251.5277997373</v>
      </c>
      <c r="G5" s="37">
        <v>12163</v>
      </c>
      <c r="H5" s="37">
        <v>12703</v>
      </c>
      <c r="I5" s="37">
        <v>12215</v>
      </c>
      <c r="J5" s="37">
        <v>12265.1500253185</v>
      </c>
      <c r="K5" s="37">
        <v>12440.530439154007</v>
      </c>
      <c r="L5" s="391">
        <v>12676</v>
      </c>
    </row>
    <row r="6" spans="1:12" s="9" customFormat="1" x14ac:dyDescent="0.2">
      <c r="A6" s="68"/>
      <c r="B6" s="59"/>
      <c r="C6" s="27"/>
      <c r="D6" s="27"/>
      <c r="E6" s="27"/>
      <c r="F6" s="27"/>
      <c r="G6" s="27"/>
    </row>
    <row r="7" spans="1:12" s="22" customFormat="1" x14ac:dyDescent="0.2">
      <c r="A7" s="274" t="s">
        <v>128</v>
      </c>
      <c r="B7" s="63">
        <v>2006</v>
      </c>
      <c r="C7" s="28">
        <v>2007</v>
      </c>
      <c r="D7" s="28">
        <v>2008</v>
      </c>
      <c r="E7" s="28">
        <v>2009</v>
      </c>
      <c r="F7" s="28">
        <v>2010</v>
      </c>
      <c r="G7" s="28">
        <v>2011</v>
      </c>
      <c r="H7" s="314">
        <v>2012</v>
      </c>
      <c r="I7" s="28">
        <v>2013</v>
      </c>
      <c r="J7" s="28">
        <v>2014</v>
      </c>
      <c r="K7" s="28">
        <v>2015</v>
      </c>
      <c r="L7" s="275">
        <v>2016</v>
      </c>
    </row>
    <row r="8" spans="1:12" s="7" customFormat="1" x14ac:dyDescent="0.2">
      <c r="A8" s="29" t="s">
        <v>289</v>
      </c>
      <c r="B8" s="64">
        <v>25383.624833000002</v>
      </c>
      <c r="C8" s="36">
        <f t="shared" ref="C8:H8" si="1">C9+C10</f>
        <v>26549.037264999999</v>
      </c>
      <c r="D8" s="36">
        <f t="shared" si="1"/>
        <v>28439.085720300001</v>
      </c>
      <c r="E8" s="36">
        <f t="shared" si="1"/>
        <v>27672.101675999998</v>
      </c>
      <c r="F8" s="36">
        <f t="shared" si="1"/>
        <v>29094.703237000002</v>
      </c>
      <c r="G8" s="245">
        <f t="shared" si="1"/>
        <v>28975</v>
      </c>
      <c r="H8" s="36">
        <f t="shared" si="1"/>
        <v>30007</v>
      </c>
      <c r="I8" s="36">
        <f>SUM(I9:I10)</f>
        <v>29613</v>
      </c>
      <c r="J8" s="36">
        <v>28679.674927</v>
      </c>
      <c r="K8" s="36">
        <v>28249.277997995825</v>
      </c>
      <c r="L8" s="276">
        <v>29007</v>
      </c>
    </row>
    <row r="9" spans="1:12" s="7" customFormat="1" x14ac:dyDescent="0.2">
      <c r="A9" s="29" t="s">
        <v>87</v>
      </c>
      <c r="B9" s="64">
        <v>16507.226516999999</v>
      </c>
      <c r="C9" s="36">
        <v>17413.858729</v>
      </c>
      <c r="D9" s="36">
        <v>17991.170831300002</v>
      </c>
      <c r="E9" s="36">
        <v>17779.520309</v>
      </c>
      <c r="F9" s="36">
        <v>18625.890831000001</v>
      </c>
      <c r="G9" s="245">
        <v>18539</v>
      </c>
      <c r="H9" s="36">
        <v>19104</v>
      </c>
      <c r="I9" s="36">
        <v>19083</v>
      </c>
      <c r="J9" s="36">
        <v>18151.810787999999</v>
      </c>
      <c r="K9" s="36">
        <v>17748.848038995824</v>
      </c>
      <c r="L9" s="276">
        <v>18245</v>
      </c>
    </row>
    <row r="10" spans="1:12" s="10" customFormat="1" ht="13.5" thickBot="1" x14ac:dyDescent="0.25">
      <c r="A10" s="30" t="s">
        <v>88</v>
      </c>
      <c r="B10" s="65">
        <v>8876.3983160000007</v>
      </c>
      <c r="C10" s="37">
        <v>9135.1785359999994</v>
      </c>
      <c r="D10" s="37">
        <v>10447.914889</v>
      </c>
      <c r="E10" s="37">
        <v>9892.5813670000007</v>
      </c>
      <c r="F10" s="37">
        <v>10468.812405999999</v>
      </c>
      <c r="G10" s="246">
        <v>10436</v>
      </c>
      <c r="H10" s="37">
        <v>10903</v>
      </c>
      <c r="I10" s="37">
        <v>10530</v>
      </c>
      <c r="J10" s="37">
        <v>10527.864138999999</v>
      </c>
      <c r="K10" s="37">
        <v>10500.429958999999</v>
      </c>
      <c r="L10" s="391">
        <v>10763</v>
      </c>
    </row>
    <row r="11" spans="1:12" s="9" customFormat="1" x14ac:dyDescent="0.2">
      <c r="A11" s="68"/>
      <c r="B11" s="59"/>
      <c r="C11" s="27"/>
      <c r="D11" s="27"/>
      <c r="E11" s="27"/>
      <c r="F11" s="27"/>
      <c r="G11" s="27"/>
    </row>
    <row r="12" spans="1:12" s="255" customFormat="1" x14ac:dyDescent="0.2">
      <c r="A12" s="259" t="s">
        <v>129</v>
      </c>
      <c r="B12" s="253">
        <v>2006</v>
      </c>
      <c r="C12" s="254">
        <v>2007</v>
      </c>
      <c r="D12" s="254">
        <v>2008</v>
      </c>
      <c r="E12" s="254">
        <v>2009</v>
      </c>
      <c r="F12" s="254">
        <v>2010</v>
      </c>
      <c r="G12" s="254">
        <v>2011</v>
      </c>
      <c r="H12" s="254">
        <v>2012</v>
      </c>
      <c r="I12" s="254">
        <v>2013</v>
      </c>
      <c r="J12" s="254">
        <v>2014</v>
      </c>
      <c r="K12" s="28">
        <v>2015</v>
      </c>
      <c r="L12" s="275">
        <v>2016</v>
      </c>
    </row>
    <row r="13" spans="1:12" s="262" customFormat="1" x14ac:dyDescent="0.2">
      <c r="A13" s="260" t="s">
        <v>289</v>
      </c>
      <c r="B13" s="256">
        <f t="shared" ref="B13:F13" si="2">B14+B15</f>
        <v>4159.4272309999997</v>
      </c>
      <c r="C13" s="261">
        <f t="shared" si="2"/>
        <v>4081.7022222946698</v>
      </c>
      <c r="D13" s="261">
        <f t="shared" si="2"/>
        <v>3914.8252069600003</v>
      </c>
      <c r="E13" s="261">
        <f t="shared" si="2"/>
        <v>4030.8536463</v>
      </c>
      <c r="F13" s="261">
        <f t="shared" si="2"/>
        <v>4400.8486571363001</v>
      </c>
      <c r="G13" s="261">
        <v>4485.3</v>
      </c>
      <c r="H13" s="261">
        <f>SUM(H14:H15)</f>
        <v>4507</v>
      </c>
      <c r="I13" s="261">
        <f>SUM(I14:I15)</f>
        <v>4332</v>
      </c>
      <c r="J13" s="261">
        <v>4567.9138772445403</v>
      </c>
      <c r="K13" s="36">
        <v>5151.8971420041753</v>
      </c>
      <c r="L13" s="276">
        <v>3940</v>
      </c>
    </row>
    <row r="14" spans="1:12" s="262" customFormat="1" x14ac:dyDescent="0.2">
      <c r="A14" s="260" t="s">
        <v>87</v>
      </c>
      <c r="B14" s="256">
        <v>2696.1484460000001</v>
      </c>
      <c r="C14" s="261">
        <v>2468.26580591536</v>
      </c>
      <c r="D14" s="261">
        <v>2320.5668707</v>
      </c>
      <c r="E14" s="261">
        <v>2442.8369440000001</v>
      </c>
      <c r="F14" s="261">
        <v>2618.133263399</v>
      </c>
      <c r="G14" s="261">
        <v>2758.4</v>
      </c>
      <c r="H14" s="261">
        <v>2707</v>
      </c>
      <c r="I14" s="261">
        <v>2647</v>
      </c>
      <c r="J14" s="261">
        <v>2830.6279909260002</v>
      </c>
      <c r="K14" s="36">
        <v>3211.7966618501678</v>
      </c>
      <c r="L14" s="276">
        <v>2610</v>
      </c>
    </row>
    <row r="15" spans="1:12" s="265" customFormat="1" ht="13.5" thickBot="1" x14ac:dyDescent="0.25">
      <c r="A15" s="263" t="s">
        <v>88</v>
      </c>
      <c r="B15" s="257">
        <v>1463.278785</v>
      </c>
      <c r="C15" s="264">
        <v>1613.43641637931</v>
      </c>
      <c r="D15" s="264">
        <v>1594.2583362600001</v>
      </c>
      <c r="E15" s="264">
        <v>1588.0167022999999</v>
      </c>
      <c r="F15" s="264">
        <v>1782.7153937373</v>
      </c>
      <c r="G15" s="264">
        <v>1727</v>
      </c>
      <c r="H15" s="264">
        <v>1800</v>
      </c>
      <c r="I15" s="264">
        <v>1685</v>
      </c>
      <c r="J15" s="264">
        <v>1737.28588631854</v>
      </c>
      <c r="K15" s="37">
        <v>1940.1004801540068</v>
      </c>
      <c r="L15" s="391">
        <v>1330</v>
      </c>
    </row>
    <row r="16" spans="1:12" s="268" customFormat="1" x14ac:dyDescent="0.2">
      <c r="A16" s="266"/>
      <c r="B16" s="258"/>
      <c r="C16" s="267"/>
      <c r="D16" s="267"/>
      <c r="E16" s="267"/>
      <c r="F16" s="267"/>
      <c r="G16" s="267"/>
    </row>
    <row r="17" spans="1:12" s="255" customFormat="1" x14ac:dyDescent="0.2">
      <c r="A17" s="259" t="s">
        <v>96</v>
      </c>
      <c r="B17" s="253">
        <v>2006</v>
      </c>
      <c r="C17" s="254">
        <v>2007</v>
      </c>
      <c r="D17" s="254">
        <v>2008</v>
      </c>
      <c r="E17" s="254">
        <v>2009</v>
      </c>
      <c r="F17" s="254">
        <v>2010</v>
      </c>
      <c r="G17" s="254">
        <v>2011</v>
      </c>
      <c r="H17" s="254">
        <v>2012</v>
      </c>
      <c r="I17" s="254">
        <v>2013</v>
      </c>
      <c r="J17" s="254">
        <v>2014</v>
      </c>
      <c r="K17" s="28">
        <v>2015</v>
      </c>
      <c r="L17" s="275">
        <v>2016</v>
      </c>
    </row>
    <row r="18" spans="1:12" s="262" customFormat="1" x14ac:dyDescent="0.2">
      <c r="A18" s="260" t="s">
        <v>289</v>
      </c>
      <c r="B18" s="269">
        <v>14.079206244464206</v>
      </c>
      <c r="C18" s="270">
        <f t="shared" ref="C18:G20" si="3">C13/C3%</f>
        <v>13.325509898276271</v>
      </c>
      <c r="D18" s="270">
        <f t="shared" si="3"/>
        <v>12.10000613453361</v>
      </c>
      <c r="E18" s="270">
        <f t="shared" si="3"/>
        <v>12.714441304671302</v>
      </c>
      <c r="F18" s="270">
        <f t="shared" si="3"/>
        <v>13.138606197758183</v>
      </c>
      <c r="G18" s="270">
        <f t="shared" si="3"/>
        <v>13.404961147638971</v>
      </c>
      <c r="H18" s="315">
        <f>H13/H3*100</f>
        <v>13.058469027061481</v>
      </c>
      <c r="I18" s="315">
        <f>I13/I3*100</f>
        <v>12.761820592134335</v>
      </c>
      <c r="J18" s="315">
        <f>J13/J3%</f>
        <v>13.739083168224774</v>
      </c>
      <c r="K18" s="270">
        <v>15.424299056575574</v>
      </c>
      <c r="L18" s="385">
        <v>0.1153</v>
      </c>
    </row>
    <row r="19" spans="1:12" s="262" customFormat="1" x14ac:dyDescent="0.2">
      <c r="A19" s="260" t="s">
        <v>87</v>
      </c>
      <c r="B19" s="269">
        <v>14.03997188616475</v>
      </c>
      <c r="C19" s="270">
        <f t="shared" si="3"/>
        <v>12.414497261501372</v>
      </c>
      <c r="D19" s="270">
        <f t="shared" si="3"/>
        <v>11.424757963822586</v>
      </c>
      <c r="E19" s="270">
        <f t="shared" si="3"/>
        <v>12.079882248334842</v>
      </c>
      <c r="F19" s="270">
        <f t="shared" si="3"/>
        <v>12.324092892030151</v>
      </c>
      <c r="G19" s="270">
        <f t="shared" si="3"/>
        <v>12.952058975442551</v>
      </c>
      <c r="H19" s="315">
        <f t="shared" ref="H19:H20" si="4">H14/H4*100</f>
        <v>12.411168676355967</v>
      </c>
      <c r="I19" s="315">
        <v>12.182151418642205</v>
      </c>
      <c r="J19" s="315">
        <f t="shared" ref="J19:J20" si="5">J14/J4%</f>
        <v>13.490462289679026</v>
      </c>
      <c r="K19" s="270">
        <v>15.322986042125585</v>
      </c>
      <c r="L19" s="385">
        <v>0.1215</v>
      </c>
    </row>
    <row r="20" spans="1:12" s="265" customFormat="1" ht="13.5" thickBot="1" x14ac:dyDescent="0.25">
      <c r="A20" s="263" t="s">
        <v>88</v>
      </c>
      <c r="B20" s="271">
        <v>14.152074293098371</v>
      </c>
      <c r="C20" s="272">
        <f t="shared" si="3"/>
        <v>15.010644846126524</v>
      </c>
      <c r="D20" s="272">
        <f t="shared" si="3"/>
        <v>13.23895866998358</v>
      </c>
      <c r="E20" s="272">
        <f t="shared" si="3"/>
        <v>13.832177493840486</v>
      </c>
      <c r="F20" s="272">
        <f t="shared" si="3"/>
        <v>14.550963952230722</v>
      </c>
      <c r="G20" s="272">
        <f t="shared" si="3"/>
        <v>14.198799638247143</v>
      </c>
      <c r="H20" s="316">
        <f t="shared" si="4"/>
        <v>14.169881130441627</v>
      </c>
      <c r="I20" s="316">
        <v>13.790616994234538</v>
      </c>
      <c r="J20" s="316">
        <f t="shared" si="5"/>
        <v>14.16440795858448</v>
      </c>
      <c r="K20" s="272">
        <v>15.594998056095262</v>
      </c>
      <c r="L20" s="392">
        <v>0.10489999999999999</v>
      </c>
    </row>
    <row r="21" spans="1:12" x14ac:dyDescent="0.2">
      <c r="C21" s="31"/>
      <c r="D21" s="31"/>
      <c r="E21" s="31"/>
      <c r="F21" s="31"/>
      <c r="G21" s="31"/>
      <c r="I21" s="9"/>
      <c r="J21" s="9"/>
    </row>
    <row r="22" spans="1:12" s="22" customFormat="1" ht="12.75" customHeight="1" x14ac:dyDescent="0.2">
      <c r="A22" s="273" t="s">
        <v>275</v>
      </c>
      <c r="B22" s="66" t="s">
        <v>146</v>
      </c>
      <c r="C22" s="28">
        <v>2007</v>
      </c>
      <c r="D22" s="28">
        <v>2008</v>
      </c>
      <c r="E22" s="28">
        <v>2009</v>
      </c>
      <c r="F22" s="28">
        <v>2010</v>
      </c>
      <c r="G22" s="28">
        <v>2011</v>
      </c>
      <c r="H22" s="28">
        <v>2012</v>
      </c>
      <c r="I22" s="28">
        <v>2013</v>
      </c>
      <c r="J22" s="28">
        <v>2014</v>
      </c>
      <c r="K22" s="28">
        <v>2015</v>
      </c>
      <c r="L22" s="275">
        <v>2016</v>
      </c>
    </row>
    <row r="23" spans="1:12" s="5" customFormat="1" x14ac:dyDescent="0.2">
      <c r="A23" s="25" t="s">
        <v>289</v>
      </c>
      <c r="B23" s="166"/>
      <c r="C23" s="34">
        <f>C24+C25</f>
        <v>3705.8956312946702</v>
      </c>
      <c r="D23" s="34">
        <f>D24+D25</f>
        <v>3225.7225789599997</v>
      </c>
      <c r="E23" s="34">
        <f>E24+E25</f>
        <v>3273.8271513</v>
      </c>
      <c r="F23" s="34">
        <f>F24+F25</f>
        <v>3586.6078961363</v>
      </c>
      <c r="G23" s="34">
        <f>SUM(G24:G25)</f>
        <v>3546</v>
      </c>
      <c r="H23" s="36">
        <f>SUM(H24:H25)</f>
        <v>3579</v>
      </c>
      <c r="I23" s="36">
        <f>SUM(I24:I25)</f>
        <v>3431</v>
      </c>
      <c r="J23" s="36">
        <v>3677.46167149347</v>
      </c>
      <c r="K23" s="36">
        <v>4084.8495021638769</v>
      </c>
      <c r="L23" s="276">
        <v>3939.7</v>
      </c>
    </row>
    <row r="24" spans="1:12" s="5" customFormat="1" x14ac:dyDescent="0.2">
      <c r="A24" s="25" t="s">
        <v>87</v>
      </c>
      <c r="B24" s="166"/>
      <c r="C24" s="34">
        <v>2468.26580591536</v>
      </c>
      <c r="D24" s="34">
        <v>2098.8937256999998</v>
      </c>
      <c r="E24" s="34">
        <v>2185.6686690000001</v>
      </c>
      <c r="F24" s="34">
        <v>2313.2733893989998</v>
      </c>
      <c r="G24" s="34">
        <v>2335</v>
      </c>
      <c r="H24" s="36">
        <v>2334</v>
      </c>
      <c r="I24" s="36">
        <v>2270</v>
      </c>
      <c r="J24" s="36">
        <v>2336.1145129259999</v>
      </c>
      <c r="K24" s="36">
        <v>2708.8552810098704</v>
      </c>
      <c r="L24" s="276">
        <v>2609.5700000000002</v>
      </c>
    </row>
    <row r="25" spans="1:12" s="1" customFormat="1" ht="13.5" thickBot="1" x14ac:dyDescent="0.25">
      <c r="A25" s="26" t="s">
        <v>88</v>
      </c>
      <c r="B25" s="167"/>
      <c r="C25" s="35">
        <v>1237.62982537931</v>
      </c>
      <c r="D25" s="35">
        <v>1126.82885326</v>
      </c>
      <c r="E25" s="35">
        <v>1088.1584823000001</v>
      </c>
      <c r="F25" s="35">
        <v>1273.3345067373</v>
      </c>
      <c r="G25" s="35">
        <v>1211</v>
      </c>
      <c r="H25" s="37">
        <v>1245</v>
      </c>
      <c r="I25" s="37">
        <v>1161</v>
      </c>
      <c r="J25" s="37">
        <v>1341.3471585674699</v>
      </c>
      <c r="K25" s="37">
        <v>1375.9942211540063</v>
      </c>
      <c r="L25" s="391">
        <v>1330.13</v>
      </c>
    </row>
    <row r="26" spans="1:12" x14ac:dyDescent="0.2">
      <c r="I26" s="9"/>
      <c r="J26" s="9"/>
    </row>
    <row r="27" spans="1:12" s="22" customFormat="1" x14ac:dyDescent="0.2">
      <c r="A27" s="273" t="s">
        <v>276</v>
      </c>
      <c r="B27" s="66" t="s">
        <v>146</v>
      </c>
      <c r="C27" s="28">
        <v>2007</v>
      </c>
      <c r="D27" s="28">
        <v>2008</v>
      </c>
      <c r="E27" s="28">
        <v>2009</v>
      </c>
      <c r="F27" s="28">
        <v>2010</v>
      </c>
      <c r="G27" s="28">
        <v>2011</v>
      </c>
      <c r="H27" s="28">
        <v>2012</v>
      </c>
      <c r="I27" s="28">
        <v>2013</v>
      </c>
      <c r="J27" s="28">
        <v>2014</v>
      </c>
      <c r="K27" s="28">
        <v>2015</v>
      </c>
      <c r="L27" s="275">
        <v>2016</v>
      </c>
    </row>
    <row r="28" spans="1:12" s="5" customFormat="1" x14ac:dyDescent="0.2">
      <c r="A28" s="25" t="s">
        <v>289</v>
      </c>
      <c r="B28" s="166"/>
      <c r="C28" s="32">
        <f t="shared" ref="C28:I30" si="6">C23/C3%</f>
        <v>12.098616270207382</v>
      </c>
      <c r="D28" s="32">
        <f t="shared" si="6"/>
        <v>9.9701163986396022</v>
      </c>
      <c r="E28" s="32">
        <f t="shared" si="6"/>
        <v>10.326567722212243</v>
      </c>
      <c r="F28" s="32">
        <f t="shared" si="6"/>
        <v>10.707713989821343</v>
      </c>
      <c r="G28" s="32">
        <f t="shared" si="6"/>
        <v>10.597728631201434</v>
      </c>
      <c r="H28" s="32">
        <f t="shared" si="6"/>
        <v>10.369705047227212</v>
      </c>
      <c r="I28" s="386">
        <f t="shared" si="6"/>
        <v>10.10752688172043</v>
      </c>
      <c r="J28" s="386" t="s">
        <v>261</v>
      </c>
      <c r="K28" s="270">
        <v>12.229658043593799</v>
      </c>
      <c r="L28" s="385">
        <v>11.53</v>
      </c>
    </row>
    <row r="29" spans="1:12" s="5" customFormat="1" x14ac:dyDescent="0.2">
      <c r="A29" s="25" t="s">
        <v>87</v>
      </c>
      <c r="B29" s="166"/>
      <c r="C29" s="32">
        <f t="shared" si="6"/>
        <v>12.414497261501372</v>
      </c>
      <c r="D29" s="32">
        <f t="shared" si="6"/>
        <v>10.333403062276309</v>
      </c>
      <c r="E29" s="32">
        <f t="shared" si="6"/>
        <v>10.808179489934364</v>
      </c>
      <c r="F29" s="32">
        <f t="shared" si="6"/>
        <v>10.889054630703868</v>
      </c>
      <c r="G29" s="32">
        <v>10.97</v>
      </c>
      <c r="H29" s="317">
        <v>10.7</v>
      </c>
      <c r="I29" s="317">
        <v>10.45</v>
      </c>
      <c r="J29" s="317" t="s">
        <v>262</v>
      </c>
      <c r="K29" s="270">
        <v>12.9235303573489</v>
      </c>
      <c r="L29" s="385">
        <v>12.15</v>
      </c>
    </row>
    <row r="30" spans="1:12" s="1" customFormat="1" ht="13.5" thickBot="1" x14ac:dyDescent="0.25">
      <c r="A30" s="26" t="s">
        <v>88</v>
      </c>
      <c r="B30" s="167"/>
      <c r="C30" s="33">
        <f t="shared" si="6"/>
        <v>11.514319108671286</v>
      </c>
      <c r="D30" s="33">
        <f t="shared" si="6"/>
        <v>9.3573546251297248</v>
      </c>
      <c r="E30" s="33">
        <f t="shared" si="6"/>
        <v>9.4782386399347907</v>
      </c>
      <c r="F30" s="33">
        <f t="shared" si="6"/>
        <v>10.393271170348266</v>
      </c>
      <c r="G30" s="33">
        <f t="shared" si="6"/>
        <v>9.9564252240401228</v>
      </c>
      <c r="H30" s="318">
        <v>9.8000000000000007</v>
      </c>
      <c r="I30" s="318">
        <v>9.51</v>
      </c>
      <c r="J30" s="318" t="s">
        <v>263</v>
      </c>
      <c r="K30" s="272">
        <v>11.0605751730919</v>
      </c>
      <c r="L30" s="392">
        <v>10.49</v>
      </c>
    </row>
    <row r="31" spans="1:12" x14ac:dyDescent="0.2">
      <c r="A31" s="67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N3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41" sqref="L41"/>
    </sheetView>
  </sheetViews>
  <sheetFormatPr defaultRowHeight="12.75" x14ac:dyDescent="0.2"/>
  <cols>
    <col min="1" max="1" width="33.5703125" style="18" customWidth="1"/>
    <col min="2" max="3" width="9.5703125" style="9" bestFit="1" customWidth="1"/>
    <col min="4" max="4" width="9.7109375" style="9" bestFit="1" customWidth="1"/>
    <col min="5" max="5" width="9.42578125" style="9" bestFit="1" customWidth="1"/>
    <col min="6" max="6" width="9.7109375" style="9" bestFit="1" customWidth="1"/>
    <col min="7" max="7" width="8.42578125" style="9" customWidth="1"/>
    <col min="8" max="8" width="11.85546875" style="9" customWidth="1"/>
    <col min="9" max="11" width="9.140625" style="9"/>
    <col min="12" max="12" width="11.85546875" style="9" bestFit="1" customWidth="1"/>
    <col min="13" max="40" width="9.140625" style="9"/>
    <col min="41" max="16384" width="9.140625" style="8"/>
  </cols>
  <sheetData>
    <row r="1" spans="1:40" s="542" customFormat="1" x14ac:dyDescent="0.2">
      <c r="A1" s="541" t="s">
        <v>132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</row>
    <row r="3" spans="1:40" s="20" customFormat="1" ht="27" customHeight="1" x14ac:dyDescent="0.2">
      <c r="A3" s="543" t="s">
        <v>98</v>
      </c>
      <c r="B3" s="545" t="s">
        <v>99</v>
      </c>
      <c r="C3" s="546"/>
      <c r="D3" s="546"/>
      <c r="E3" s="546"/>
      <c r="F3" s="546"/>
      <c r="G3" s="546"/>
      <c r="H3" s="546"/>
      <c r="I3" s="546"/>
      <c r="J3" s="54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s="5" customFormat="1" x14ac:dyDescent="0.2">
      <c r="A4" s="543"/>
      <c r="B4" s="387">
        <v>2006</v>
      </c>
      <c r="C4" s="387">
        <v>2007</v>
      </c>
      <c r="D4" s="387">
        <v>2008</v>
      </c>
      <c r="E4" s="387">
        <v>2009</v>
      </c>
      <c r="F4" s="387">
        <v>2010</v>
      </c>
      <c r="G4" s="387">
        <v>2011</v>
      </c>
      <c r="H4" s="28">
        <v>2012</v>
      </c>
      <c r="I4" s="28">
        <v>2013</v>
      </c>
      <c r="J4" s="28">
        <v>2014</v>
      </c>
      <c r="K4" s="28">
        <v>2015</v>
      </c>
      <c r="L4" s="275">
        <v>2016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5" customFormat="1" x14ac:dyDescent="0.2">
      <c r="A5" s="60" t="s">
        <v>100</v>
      </c>
      <c r="B5" s="134">
        <f>2181300/1000</f>
        <v>2181.3000000000002</v>
      </c>
      <c r="C5" s="135">
        <f>7343000/1000</f>
        <v>7343</v>
      </c>
      <c r="D5" s="136">
        <f>8401495.00306/1000</f>
        <v>8401.4950030599994</v>
      </c>
      <c r="E5" s="136">
        <v>7653.5</v>
      </c>
      <c r="F5" s="136">
        <v>12574</v>
      </c>
      <c r="G5" s="23">
        <v>10829</v>
      </c>
      <c r="H5" s="319">
        <v>11515</v>
      </c>
      <c r="I5" s="23">
        <v>13158</v>
      </c>
      <c r="J5" s="240">
        <v>15608</v>
      </c>
      <c r="K5" s="240">
        <v>5091.3687183900001</v>
      </c>
      <c r="L5" s="388">
        <v>22210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5" customFormat="1" x14ac:dyDescent="0.2">
      <c r="A6" s="60" t="s">
        <v>101</v>
      </c>
      <c r="B6" s="134">
        <f>1105369.61869/1000</f>
        <v>1105.3696186899999</v>
      </c>
      <c r="C6" s="135">
        <f>3311705/1000+1</f>
        <v>3312.7049999999999</v>
      </c>
      <c r="D6" s="136">
        <f>5787199.00505/1000</f>
        <v>5787.1990050499999</v>
      </c>
      <c r="E6" s="136">
        <v>7206</v>
      </c>
      <c r="F6" s="136">
        <v>11328.4</v>
      </c>
      <c r="G6" s="23">
        <v>11246</v>
      </c>
      <c r="H6" s="319">
        <v>12424</v>
      </c>
      <c r="I6" s="23">
        <v>14355</v>
      </c>
      <c r="J6" s="240">
        <v>16042</v>
      </c>
      <c r="K6" s="240">
        <v>2618.5219815300002</v>
      </c>
      <c r="L6" s="388">
        <v>15165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5" customFormat="1" x14ac:dyDescent="0.2">
      <c r="A7" s="60" t="s">
        <v>102</v>
      </c>
      <c r="B7" s="134">
        <f>3384088/1000</f>
        <v>3384.0880000000002</v>
      </c>
      <c r="C7" s="135">
        <f>9333796.4/1000</f>
        <v>9333.7964000000011</v>
      </c>
      <c r="D7" s="136">
        <f>10269137.7/1000</f>
        <v>10269.137699999999</v>
      </c>
      <c r="E7" s="136">
        <v>8670</v>
      </c>
      <c r="F7" s="136">
        <v>12704</v>
      </c>
      <c r="G7" s="23">
        <v>11446</v>
      </c>
      <c r="H7" s="319">
        <v>12337</v>
      </c>
      <c r="I7" s="23">
        <v>13940</v>
      </c>
      <c r="J7" s="240">
        <v>16858</v>
      </c>
      <c r="K7" s="240">
        <v>8776.0664968447072</v>
      </c>
      <c r="L7" s="388">
        <v>27617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5" customFormat="1" x14ac:dyDescent="0.2">
      <c r="A8" s="60" t="s">
        <v>103</v>
      </c>
      <c r="B8" s="134">
        <v>21.2</v>
      </c>
      <c r="C8" s="135">
        <v>376.6</v>
      </c>
      <c r="D8" s="136">
        <v>611.9</v>
      </c>
      <c r="E8" s="136">
        <v>495</v>
      </c>
      <c r="F8" s="136">
        <v>704.4</v>
      </c>
      <c r="G8" s="335">
        <v>623</v>
      </c>
      <c r="H8" s="336">
        <v>1409</v>
      </c>
      <c r="I8" s="377">
        <v>603</v>
      </c>
      <c r="J8" s="240">
        <v>753</v>
      </c>
      <c r="K8" s="240">
        <v>15.823</v>
      </c>
      <c r="L8" s="388">
        <v>844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1" customFormat="1" ht="13.5" thickBot="1" x14ac:dyDescent="0.25">
      <c r="A9" s="137" t="s">
        <v>104</v>
      </c>
      <c r="B9" s="138">
        <v>30.7</v>
      </c>
      <c r="C9" s="139">
        <v>83.4</v>
      </c>
      <c r="D9" s="140">
        <v>100.7</v>
      </c>
      <c r="E9" s="140">
        <v>316</v>
      </c>
      <c r="F9" s="140">
        <v>995.2</v>
      </c>
      <c r="G9" s="241">
        <v>935</v>
      </c>
      <c r="H9" s="320">
        <v>716</v>
      </c>
      <c r="I9" s="241">
        <v>764</v>
      </c>
      <c r="J9" s="405">
        <v>836</v>
      </c>
      <c r="K9" s="405">
        <v>218.07129</v>
      </c>
      <c r="L9" s="393">
        <v>2147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x14ac:dyDescent="0.2">
      <c r="A10" s="142"/>
      <c r="B10" s="7"/>
      <c r="C10" s="7"/>
      <c r="D10" s="133"/>
      <c r="E10" s="133"/>
      <c r="F10" s="133"/>
      <c r="G10" s="133"/>
    </row>
    <row r="11" spans="1:40" s="540" customFormat="1" x14ac:dyDescent="0.2">
      <c r="A11" s="539" t="s">
        <v>151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39"/>
      <c r="AJ11" s="539"/>
      <c r="AK11" s="539"/>
      <c r="AL11" s="539"/>
      <c r="AM11" s="539"/>
      <c r="AN11" s="539"/>
    </row>
    <row r="12" spans="1:40" x14ac:dyDescent="0.2">
      <c r="A12" s="142"/>
      <c r="B12" s="7"/>
      <c r="C12" s="7"/>
      <c r="D12" s="133"/>
      <c r="E12" s="133"/>
      <c r="F12" s="133"/>
      <c r="G12" s="133"/>
    </row>
    <row r="13" spans="1:40" s="20" customFormat="1" ht="27" customHeight="1" x14ac:dyDescent="0.2">
      <c r="A13" s="544" t="s">
        <v>98</v>
      </c>
      <c r="B13" s="548" t="s">
        <v>105</v>
      </c>
      <c r="C13" s="549"/>
      <c r="D13" s="549"/>
      <c r="E13" s="549"/>
      <c r="F13" s="549"/>
      <c r="G13" s="549"/>
      <c r="H13" s="549"/>
      <c r="I13" s="549"/>
      <c r="J13" s="55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s="5" customFormat="1" x14ac:dyDescent="0.2">
      <c r="A14" s="543"/>
      <c r="B14" s="243">
        <v>2006</v>
      </c>
      <c r="C14" s="244">
        <v>2007</v>
      </c>
      <c r="D14" s="244">
        <v>2008</v>
      </c>
      <c r="E14" s="244">
        <v>2009</v>
      </c>
      <c r="F14" s="244">
        <v>2010</v>
      </c>
      <c r="G14" s="244">
        <v>2011</v>
      </c>
      <c r="H14" s="244">
        <v>2012</v>
      </c>
      <c r="I14" s="244">
        <v>2013</v>
      </c>
      <c r="J14" s="244">
        <v>2014</v>
      </c>
      <c r="K14" s="28">
        <v>2015</v>
      </c>
      <c r="L14" s="275">
        <v>2016</v>
      </c>
      <c r="M14" s="4"/>
      <c r="N14" s="4"/>
      <c r="O14" s="4"/>
      <c r="P14" s="7"/>
      <c r="Q14" s="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5" customFormat="1" x14ac:dyDescent="0.2">
      <c r="A15" s="60" t="s">
        <v>100</v>
      </c>
      <c r="B15" s="168">
        <f>678700/1000</f>
        <v>678.7</v>
      </c>
      <c r="C15" s="169">
        <f>1436900/1000</f>
        <v>1436.9</v>
      </c>
      <c r="D15" s="169">
        <f>3007749.27373/1000</f>
        <v>3007.7492737299999</v>
      </c>
      <c r="E15" s="169">
        <v>2680.5</v>
      </c>
      <c r="F15" s="169">
        <v>3239</v>
      </c>
      <c r="G15" s="240">
        <v>4232</v>
      </c>
      <c r="H15" s="321">
        <v>3376</v>
      </c>
      <c r="I15" s="321">
        <v>5570</v>
      </c>
      <c r="J15" s="240">
        <v>7803</v>
      </c>
      <c r="K15" s="240">
        <v>1649.6055792011841</v>
      </c>
      <c r="L15" s="388">
        <v>9546</v>
      </c>
      <c r="M15" s="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5" customFormat="1" x14ac:dyDescent="0.2">
      <c r="A16" s="60" t="s">
        <v>101</v>
      </c>
      <c r="B16" s="168">
        <f>459366.831/1000</f>
        <v>459.36683099999999</v>
      </c>
      <c r="C16" s="169">
        <v>1150</v>
      </c>
      <c r="D16" s="169">
        <f>1270755.6665/1000</f>
        <v>1270.7556665</v>
      </c>
      <c r="E16" s="169">
        <v>2856</v>
      </c>
      <c r="F16" s="169">
        <v>2421.3000000000002</v>
      </c>
      <c r="G16" s="238">
        <v>5077</v>
      </c>
      <c r="H16" s="321">
        <v>3651</v>
      </c>
      <c r="I16" s="321">
        <v>4299</v>
      </c>
      <c r="J16" s="240">
        <v>8272</v>
      </c>
      <c r="K16" s="240">
        <v>1066.557284529491</v>
      </c>
      <c r="L16" s="388">
        <v>5273</v>
      </c>
      <c r="M16" s="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5" customFormat="1" x14ac:dyDescent="0.2">
      <c r="A17" s="60" t="s">
        <v>102</v>
      </c>
      <c r="B17" s="168">
        <f>715316/1000</f>
        <v>715.31600000000003</v>
      </c>
      <c r="C17" s="169">
        <f>1607841.9/1000</f>
        <v>1607.8418999999999</v>
      </c>
      <c r="D17" s="169">
        <f>3165554/1000</f>
        <v>3165.5540000000001</v>
      </c>
      <c r="E17" s="169">
        <v>3650</v>
      </c>
      <c r="F17" s="169">
        <v>3723.5</v>
      </c>
      <c r="G17" s="238">
        <v>4101</v>
      </c>
      <c r="H17" s="321">
        <v>3663</v>
      </c>
      <c r="I17" s="321">
        <v>5405</v>
      </c>
      <c r="J17" s="240">
        <v>8320</v>
      </c>
      <c r="K17" s="240">
        <v>4368.4714825647989</v>
      </c>
      <c r="L17" s="388">
        <v>11677</v>
      </c>
      <c r="M17" s="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5" customFormat="1" x14ac:dyDescent="0.2">
      <c r="A18" s="60" t="s">
        <v>103</v>
      </c>
      <c r="B18" s="168">
        <v>84</v>
      </c>
      <c r="C18" s="169">
        <v>125.7</v>
      </c>
      <c r="D18" s="169">
        <v>92.9</v>
      </c>
      <c r="E18" s="169">
        <v>337</v>
      </c>
      <c r="F18" s="169">
        <v>228</v>
      </c>
      <c r="G18" s="238">
        <v>372</v>
      </c>
      <c r="H18" s="322">
        <v>502</v>
      </c>
      <c r="I18" s="322">
        <v>304</v>
      </c>
      <c r="J18" s="238">
        <v>697</v>
      </c>
      <c r="K18" s="240">
        <v>52.825000000000003</v>
      </c>
      <c r="L18" s="388">
        <v>395</v>
      </c>
      <c r="M18" s="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1" customFormat="1" ht="13.5" thickBot="1" x14ac:dyDescent="0.25">
      <c r="A19" s="137" t="s">
        <v>104</v>
      </c>
      <c r="B19" s="170">
        <v>191.5</v>
      </c>
      <c r="C19" s="171">
        <v>162.9</v>
      </c>
      <c r="D19" s="171">
        <v>256.10000000000002</v>
      </c>
      <c r="E19" s="171">
        <v>353</v>
      </c>
      <c r="F19" s="171">
        <v>512.4</v>
      </c>
      <c r="G19" s="242">
        <v>778</v>
      </c>
      <c r="H19" s="323">
        <v>864</v>
      </c>
      <c r="I19" s="323">
        <v>1082</v>
      </c>
      <c r="J19" s="405">
        <v>1654</v>
      </c>
      <c r="K19" s="405">
        <v>234.33456000000001</v>
      </c>
      <c r="L19" s="393">
        <v>1619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x14ac:dyDescent="0.2">
      <c r="A20" s="142"/>
      <c r="B20" s="7"/>
      <c r="C20" s="7"/>
      <c r="D20" s="133"/>
      <c r="E20" s="133"/>
      <c r="F20" s="133"/>
      <c r="G20" s="133"/>
      <c r="M20" s="4"/>
    </row>
    <row r="21" spans="1:40" s="540" customFormat="1" x14ac:dyDescent="0.2">
      <c r="A21" s="539" t="s">
        <v>277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</row>
    <row r="22" spans="1:40" x14ac:dyDescent="0.2">
      <c r="A22" s="142"/>
      <c r="B22" s="7"/>
      <c r="C22" s="7"/>
      <c r="D22" s="133"/>
      <c r="E22" s="133"/>
      <c r="F22" s="239"/>
      <c r="G22" s="133"/>
    </row>
    <row r="23" spans="1:40" s="20" customFormat="1" ht="27" customHeight="1" x14ac:dyDescent="0.2">
      <c r="A23" s="544" t="s">
        <v>98</v>
      </c>
      <c r="B23" s="548" t="s">
        <v>278</v>
      </c>
      <c r="C23" s="549"/>
      <c r="D23" s="549"/>
      <c r="E23" s="549"/>
      <c r="F23" s="549"/>
      <c r="G23" s="549"/>
      <c r="H23" s="549"/>
      <c r="I23" s="549"/>
      <c r="J23" s="55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s="5" customFormat="1" x14ac:dyDescent="0.2">
      <c r="A24" s="543"/>
      <c r="B24" s="243">
        <v>2006</v>
      </c>
      <c r="C24" s="244">
        <v>2007</v>
      </c>
      <c r="D24" s="244">
        <v>2008</v>
      </c>
      <c r="E24" s="244">
        <v>2009</v>
      </c>
      <c r="F24" s="244">
        <v>2010</v>
      </c>
      <c r="G24" s="244">
        <v>2011</v>
      </c>
      <c r="H24" s="244">
        <v>2012</v>
      </c>
      <c r="I24" s="244">
        <v>2013</v>
      </c>
      <c r="J24" s="244">
        <v>2014</v>
      </c>
      <c r="K24" s="28">
        <v>2015</v>
      </c>
      <c r="L24" s="275">
        <v>2016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s="5" customFormat="1" x14ac:dyDescent="0.2">
      <c r="A25" s="60" t="s">
        <v>100</v>
      </c>
      <c r="B25" s="69">
        <v>2860</v>
      </c>
      <c r="C25" s="23">
        <v>8779.9</v>
      </c>
      <c r="D25" s="23">
        <v>11409.244276789999</v>
      </c>
      <c r="E25" s="23">
        <v>10334</v>
      </c>
      <c r="F25" s="23">
        <v>15813</v>
      </c>
      <c r="G25" s="23">
        <f>G5+G15</f>
        <v>15061</v>
      </c>
      <c r="H25" s="324">
        <v>14891</v>
      </c>
      <c r="I25" s="324">
        <v>18729</v>
      </c>
      <c r="J25" s="240">
        <v>23411</v>
      </c>
      <c r="K25" s="240">
        <v>6740.974297591184</v>
      </c>
      <c r="L25" s="388">
        <v>12664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s="5" customFormat="1" x14ac:dyDescent="0.2">
      <c r="A26" s="60" t="s">
        <v>101</v>
      </c>
      <c r="B26" s="69">
        <v>1564.73644969</v>
      </c>
      <c r="C26" s="23">
        <v>4462.7049999999999</v>
      </c>
      <c r="D26" s="23">
        <v>7057.9546715500001</v>
      </c>
      <c r="E26" s="23">
        <v>10062</v>
      </c>
      <c r="F26" s="23">
        <v>13749.7</v>
      </c>
      <c r="G26" s="23">
        <f>G6+G16</f>
        <v>16323</v>
      </c>
      <c r="H26" s="23">
        <v>16075</v>
      </c>
      <c r="I26" s="23">
        <v>18653</v>
      </c>
      <c r="J26" s="240">
        <v>24314</v>
      </c>
      <c r="K26" s="240">
        <v>3685.0792660594907</v>
      </c>
      <c r="L26" s="388">
        <v>9891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s="5" customFormat="1" x14ac:dyDescent="0.2">
      <c r="A27" s="60" t="s">
        <v>102</v>
      </c>
      <c r="B27" s="69">
        <v>4099.4040000000005</v>
      </c>
      <c r="C27" s="23">
        <v>10941.638300000001</v>
      </c>
      <c r="D27" s="23">
        <v>13434.691699999999</v>
      </c>
      <c r="E27" s="23">
        <v>12320</v>
      </c>
      <c r="F27" s="23">
        <v>16427.5</v>
      </c>
      <c r="G27" s="23">
        <f>G7+G17</f>
        <v>15547</v>
      </c>
      <c r="H27" s="23">
        <v>16000</v>
      </c>
      <c r="I27" s="23">
        <v>19345</v>
      </c>
      <c r="J27" s="240">
        <v>25178</v>
      </c>
      <c r="K27" s="240">
        <v>13144.537979126308</v>
      </c>
      <c r="L27" s="388">
        <v>15892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5" customFormat="1" x14ac:dyDescent="0.2">
      <c r="A28" s="60" t="s">
        <v>103</v>
      </c>
      <c r="B28" s="69">
        <v>105.2</v>
      </c>
      <c r="C28" s="23">
        <v>502.3</v>
      </c>
      <c r="D28" s="23">
        <v>704.8</v>
      </c>
      <c r="E28" s="23">
        <v>832</v>
      </c>
      <c r="F28" s="23">
        <v>932.4</v>
      </c>
      <c r="G28" s="23">
        <v>996</v>
      </c>
      <c r="H28" s="23">
        <v>1911</v>
      </c>
      <c r="I28" s="23">
        <v>906.77</v>
      </c>
      <c r="J28" s="240">
        <v>1450</v>
      </c>
      <c r="K28" s="240">
        <v>211.05500000000001</v>
      </c>
      <c r="L28" s="388">
        <v>449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s="1" customFormat="1" ht="13.5" thickBot="1" x14ac:dyDescent="0.25">
      <c r="A29" s="137" t="s">
        <v>104</v>
      </c>
      <c r="B29" s="70">
        <v>222.2</v>
      </c>
      <c r="C29" s="24">
        <v>246.3</v>
      </c>
      <c r="D29" s="24">
        <v>356.8</v>
      </c>
      <c r="E29" s="24">
        <v>669</v>
      </c>
      <c r="F29" s="24">
        <v>1507.6</v>
      </c>
      <c r="G29" s="24">
        <f>G9+G19</f>
        <v>1713</v>
      </c>
      <c r="H29" s="24">
        <v>1581</v>
      </c>
      <c r="I29" s="24">
        <v>1846.29</v>
      </c>
      <c r="J29" s="405">
        <v>2490</v>
      </c>
      <c r="K29" s="405">
        <v>452.40584999999999</v>
      </c>
      <c r="L29" s="393">
        <v>528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5" customFormat="1" x14ac:dyDescent="0.2">
      <c r="A30" s="142"/>
      <c r="B30" s="277"/>
      <c r="C30" s="277"/>
      <c r="D30" s="277"/>
      <c r="E30" s="277"/>
      <c r="F30" s="277"/>
      <c r="G30" s="277"/>
      <c r="H30" s="27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5" customFormat="1" x14ac:dyDescent="0.2">
      <c r="A31" s="142"/>
      <c r="B31" s="277"/>
      <c r="C31" s="277"/>
      <c r="D31" s="277"/>
      <c r="E31" s="277"/>
      <c r="F31" s="277"/>
      <c r="G31" s="277"/>
      <c r="H31" s="27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5" customFormat="1" x14ac:dyDescent="0.2">
      <c r="A32" s="142"/>
      <c r="B32" s="277"/>
      <c r="C32" s="277"/>
      <c r="D32" s="277"/>
      <c r="E32" s="277"/>
      <c r="F32" s="277"/>
      <c r="G32" s="277"/>
      <c r="H32" s="27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5" customFormat="1" x14ac:dyDescent="0.2">
      <c r="A33" s="142"/>
      <c r="B33" s="277"/>
      <c r="C33" s="277"/>
      <c r="D33" s="277"/>
      <c r="E33" s="277"/>
      <c r="F33" s="277"/>
      <c r="G33" s="277"/>
      <c r="H33" s="27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5" customFormat="1" x14ac:dyDescent="0.2">
      <c r="A34" s="142"/>
      <c r="B34" s="277"/>
      <c r="C34" s="277"/>
      <c r="D34" s="277"/>
      <c r="E34" s="277"/>
      <c r="F34" s="277"/>
      <c r="G34" s="277"/>
      <c r="H34" s="27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</sheetData>
  <sheetProtection formatCells="0" formatColumns="0" formatRows="0" insertColumns="0" insertRows="0" insertHyperlinks="0" deleteColumns="0" deleteRows="0" sort="0" autoFilter="0" pivotTables="0"/>
  <mergeCells count="9">
    <mergeCell ref="A11:XFD11"/>
    <mergeCell ref="A1:XFD1"/>
    <mergeCell ref="A21:XFD21"/>
    <mergeCell ref="A3:A4"/>
    <mergeCell ref="A23:A24"/>
    <mergeCell ref="A13:A14"/>
    <mergeCell ref="B3:J3"/>
    <mergeCell ref="B13:J13"/>
    <mergeCell ref="B23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Содержание</vt:lpstr>
      <vt:lpstr>Уставный Капитал</vt:lpstr>
      <vt:lpstr>Акции</vt:lpstr>
      <vt:lpstr>Financial Position Statement </vt:lpstr>
      <vt:lpstr>P&amp;L</vt:lpstr>
      <vt:lpstr>Cash Flows Statement</vt:lpstr>
      <vt:lpstr>Характеристика активов</vt:lpstr>
      <vt:lpstr>Передача ээ</vt:lpstr>
      <vt:lpstr>Инвестиционная Программа</vt:lpstr>
      <vt:lpstr>Долгосрочная ИП 2017-2020</vt:lpstr>
      <vt:lpstr>параметры RAB (НВВ до 2020)</vt:lpstr>
      <vt:lpstr>'Уставный Капитал'!_ftn1</vt:lpstr>
      <vt:lpstr>'Уставный Капитал'!_ftn2</vt:lpstr>
      <vt:lpstr>'Уставный Капитал'!_ftnref1</vt:lpstr>
      <vt:lpstr>'Уставный Капитал'!_ftnref2</vt:lpstr>
      <vt:lpstr>'Долгосрочная ИП 2017-2020'!Область_печати</vt:lpstr>
      <vt:lpstr>'параметры RAB (НВВ до 2020)'!Область_печати</vt:lpstr>
    </vt:vector>
  </TitlesOfParts>
  <Company>LGO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Morozova.SU</dc:creator>
  <cp:lastModifiedBy>Березин Илья Евгеньевич</cp:lastModifiedBy>
  <cp:lastPrinted>2015-09-22T09:45:59Z</cp:lastPrinted>
  <dcterms:created xsi:type="dcterms:W3CDTF">2009-12-08T08:31:25Z</dcterms:created>
  <dcterms:modified xsi:type="dcterms:W3CDTF">2017-06-21T06:16:24Z</dcterms:modified>
</cp:coreProperties>
</file>